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1EB4083-3B5D-4066-81C9-5C16637AE4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9" i="1" l="1"/>
  <c r="AJ71" i="1"/>
  <c r="AN60" i="1"/>
  <c r="AH75" i="1"/>
  <c r="AH79" i="1"/>
  <c r="AH80" i="1"/>
  <c r="K69" i="1"/>
  <c r="J69" i="1"/>
  <c r="I69" i="1"/>
  <c r="H69" i="1"/>
  <c r="S4" i="5" l="1"/>
  <c r="Q4" i="5"/>
  <c r="N4" i="5"/>
  <c r="K4" i="5"/>
  <c r="H4" i="5"/>
  <c r="E29" i="5" l="1"/>
  <c r="E64" i="5" s="1"/>
  <c r="E65" i="5"/>
  <c r="S59" i="5"/>
  <c r="S65" i="5" s="1"/>
  <c r="R59" i="5"/>
  <c r="R65" i="5" s="1"/>
  <c r="P59" i="5"/>
  <c r="P65" i="5" s="1"/>
  <c r="O59" i="5"/>
  <c r="O65" i="5" s="1"/>
  <c r="M59" i="5"/>
  <c r="M65" i="5" s="1"/>
  <c r="L59" i="5"/>
  <c r="L65" i="5" s="1"/>
  <c r="J59" i="5"/>
  <c r="J65" i="5" s="1"/>
  <c r="I59" i="5"/>
  <c r="I65" i="5" s="1"/>
  <c r="G59" i="5"/>
  <c r="G65" i="5" s="1"/>
  <c r="F59" i="5"/>
  <c r="F65" i="5" s="1"/>
  <c r="Q57" i="5"/>
  <c r="N57" i="5"/>
  <c r="K57" i="5"/>
  <c r="H57" i="5"/>
  <c r="S29" i="5"/>
  <c r="S64" i="5" s="1"/>
  <c r="R29" i="5"/>
  <c r="R64" i="5" s="1"/>
  <c r="P29" i="5"/>
  <c r="P64" i="5" s="1"/>
  <c r="O29" i="5"/>
  <c r="O64" i="5" s="1"/>
  <c r="M29" i="5"/>
  <c r="M64" i="5" s="1"/>
  <c r="L29" i="5"/>
  <c r="L64" i="5" s="1"/>
  <c r="J29" i="5"/>
  <c r="J64" i="5" s="1"/>
  <c r="I29" i="5"/>
  <c r="I64" i="5" s="1"/>
  <c r="G29" i="5"/>
  <c r="G64" i="5" s="1"/>
  <c r="F29" i="5"/>
  <c r="F64" i="5" s="1"/>
  <c r="T27" i="5"/>
  <c r="Q27" i="5"/>
  <c r="N27" i="5"/>
  <c r="K27" i="5"/>
  <c r="H27" i="5"/>
  <c r="T26" i="5"/>
  <c r="Q26" i="5"/>
  <c r="N26" i="5"/>
  <c r="K26" i="5"/>
  <c r="H26" i="5"/>
  <c r="K29" i="5" l="1"/>
  <c r="K64" i="5" s="1"/>
  <c r="Q29" i="5"/>
  <c r="Q64" i="5" s="1"/>
  <c r="K59" i="5"/>
  <c r="K65" i="5" s="1"/>
  <c r="Q59" i="5"/>
  <c r="Q65" i="5" s="1"/>
  <c r="H29" i="5"/>
  <c r="H64" i="5" s="1"/>
  <c r="N29" i="5"/>
  <c r="N64" i="5" s="1"/>
  <c r="T29" i="5"/>
  <c r="T64" i="5" s="1"/>
  <c r="H59" i="5"/>
  <c r="H65" i="5" s="1"/>
  <c r="N59" i="5"/>
  <c r="N65" i="5" s="1"/>
  <c r="T59" i="5"/>
  <c r="T65" i="5" s="1"/>
  <c r="AH61" i="1" l="1"/>
  <c r="AH65" i="1" l="1"/>
  <c r="AH66" i="1"/>
  <c r="AH67" i="1"/>
  <c r="AH68" i="1"/>
  <c r="AH69" i="1"/>
  <c r="AH70" i="1"/>
  <c r="AH71" i="1"/>
  <c r="AH72" i="1"/>
  <c r="AH74" i="1"/>
  <c r="K118" i="1" l="1"/>
  <c r="J118" i="1"/>
  <c r="I118" i="1"/>
  <c r="H118" i="1"/>
  <c r="K68" i="1"/>
  <c r="J68" i="1"/>
  <c r="I68" i="1"/>
  <c r="AN59" i="1"/>
  <c r="H68" i="1" l="1"/>
  <c r="AH31" i="1"/>
  <c r="AG31" i="1"/>
  <c r="H67" i="1"/>
  <c r="O5" i="1" l="1"/>
  <c r="O6" i="1"/>
  <c r="O7" i="1"/>
  <c r="O8" i="1"/>
  <c r="O9" i="1"/>
  <c r="O10" i="1"/>
  <c r="O11" i="1"/>
  <c r="O12" i="1"/>
  <c r="O13" i="1"/>
  <c r="O15" i="1"/>
  <c r="O16" i="1"/>
  <c r="O17" i="1"/>
  <c r="O18" i="1"/>
  <c r="O19" i="1"/>
  <c r="O20" i="1"/>
  <c r="AN58" i="1"/>
  <c r="AN57" i="1"/>
  <c r="AN56" i="1"/>
  <c r="AN55" i="1"/>
  <c r="AN54" i="1"/>
  <c r="AN53" i="1"/>
  <c r="AN52" i="1"/>
  <c r="AN51" i="1"/>
  <c r="AN50" i="1"/>
  <c r="AN49" i="1"/>
  <c r="AN48" i="1"/>
  <c r="AN47" i="1"/>
  <c r="AN46" i="1"/>
  <c r="K67" i="1" l="1"/>
  <c r="J67" i="1"/>
  <c r="I67" i="1"/>
  <c r="K66" i="1" l="1"/>
  <c r="J66" i="1"/>
  <c r="I66" i="1"/>
  <c r="H66" i="1"/>
  <c r="AH111" i="1" l="1"/>
  <c r="AH108" i="1"/>
  <c r="AH100" i="1"/>
  <c r="AH99" i="1"/>
  <c r="F96" i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46" i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O8" i="4" l="1"/>
  <c r="N8" i="4"/>
  <c r="M8" i="4"/>
  <c r="L8" i="4"/>
  <c r="K8" i="4"/>
  <c r="AS5" i="4"/>
  <c r="AQ5" i="4"/>
  <c r="AP5" i="4"/>
  <c r="AO5" i="4"/>
  <c r="AN5" i="4"/>
  <c r="AM5" i="4"/>
  <c r="AG5" i="4"/>
  <c r="K10" i="4" s="1"/>
  <c r="AE5" i="4"/>
  <c r="I10" i="4" s="1"/>
  <c r="AD5" i="4"/>
  <c r="H10" i="4" s="1"/>
  <c r="AC5" i="4"/>
  <c r="G10" i="4" s="1"/>
  <c r="AB5" i="4"/>
  <c r="F10" i="4" s="1"/>
  <c r="AA5" i="4"/>
  <c r="E10" i="4" s="1"/>
  <c r="W5" i="4"/>
  <c r="U5" i="4"/>
  <c r="T5" i="4"/>
  <c r="S5" i="4"/>
  <c r="R5" i="4"/>
  <c r="Q5" i="4"/>
  <c r="K5" i="4"/>
  <c r="K9" i="4" s="1"/>
  <c r="I5" i="4"/>
  <c r="I9" i="4" s="1"/>
  <c r="H5" i="4"/>
  <c r="H9" i="4" s="1"/>
  <c r="G5" i="4"/>
  <c r="G9" i="4" s="1"/>
  <c r="G11" i="4" s="1"/>
  <c r="F5" i="4"/>
  <c r="F9" i="4" s="1"/>
  <c r="E5" i="4"/>
  <c r="E9" i="4" s="1"/>
  <c r="E11" i="4" s="1"/>
  <c r="K11" i="4" l="1"/>
  <c r="O9" i="4"/>
  <c r="I11" i="4"/>
  <c r="O11" i="4" s="1"/>
  <c r="F11" i="4"/>
  <c r="N9" i="4"/>
  <c r="L9" i="4"/>
  <c r="H11" i="4"/>
  <c r="M11" i="4" s="1"/>
  <c r="M9" i="4"/>
  <c r="N11" i="4" l="1"/>
  <c r="L11" i="4"/>
  <c r="Y30" i="1" l="1"/>
  <c r="I36" i="1" s="1"/>
  <c r="M30" i="1"/>
  <c r="L30" i="1"/>
  <c r="K30" i="1"/>
  <c r="J30" i="1"/>
  <c r="I30" i="1"/>
  <c r="H30" i="1"/>
  <c r="H35" i="1" s="1"/>
  <c r="G30" i="1"/>
  <c r="G35" i="1" s="1"/>
  <c r="F30" i="1"/>
  <c r="F35" i="1" s="1"/>
  <c r="E30" i="1"/>
  <c r="E35" i="1" s="1"/>
  <c r="O14" i="1"/>
  <c r="X30" i="1"/>
  <c r="H36" i="1" s="1"/>
  <c r="W30" i="1"/>
  <c r="G36" i="1" s="1"/>
  <c r="V30" i="1"/>
  <c r="F36" i="1" s="1"/>
  <c r="U30" i="1"/>
  <c r="E36" i="1" s="1"/>
  <c r="AQ30" i="1"/>
  <c r="AP30" i="1"/>
  <c r="AO30" i="1"/>
  <c r="AN30" i="1"/>
  <c r="AM30" i="1"/>
  <c r="AL30" i="1"/>
  <c r="I35" i="1"/>
  <c r="P27" i="3"/>
  <c r="O27" i="3"/>
  <c r="M27" i="3"/>
  <c r="I27" i="3"/>
  <c r="H27" i="3"/>
  <c r="G27" i="3"/>
  <c r="P15" i="3"/>
  <c r="O15" i="3"/>
  <c r="N15" i="3"/>
  <c r="M15" i="3"/>
  <c r="I15" i="3"/>
  <c r="G15" i="3"/>
  <c r="O30" i="1" l="1"/>
  <c r="O35" i="1" s="1"/>
  <c r="O38" i="1" s="1"/>
  <c r="D32" i="1"/>
  <c r="M35" i="1"/>
  <c r="L36" i="1"/>
  <c r="F38" i="1"/>
  <c r="K36" i="1"/>
  <c r="I38" i="1"/>
  <c r="N36" i="1"/>
  <c r="Z30" i="1" s="1"/>
  <c r="M36" i="1"/>
  <c r="G38" i="1"/>
  <c r="E38" i="1"/>
  <c r="M38" i="1" s="1"/>
  <c r="K35" i="1"/>
  <c r="L35" i="1"/>
  <c r="H38" i="1"/>
  <c r="N30" i="1"/>
  <c r="N35" i="1" s="1"/>
  <c r="N38" i="1" l="1"/>
  <c r="L38" i="1"/>
  <c r="K38" i="1"/>
</calcChain>
</file>

<file path=xl/sharedStrings.xml><?xml version="1.0" encoding="utf-8"?>
<sst xmlns="http://schemas.openxmlformats.org/spreadsheetml/2006/main" count="1701" uniqueCount="582">
  <si>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</si>
  <si>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</si>
  <si>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</si>
  <si>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</si>
  <si>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</si>
  <si>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</si>
  <si>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</si>
  <si>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</si>
  <si>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</si>
  <si>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</si>
  <si>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</si>
  <si>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</si>
  <si>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</si>
  <si>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</si>
  <si>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</si>
  <si>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</si>
  <si>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</si>
  <si>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</si>
  <si>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</si>
  <si>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</si>
  <si>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</si>
  <si>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</si>
  <si>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</si>
  <si>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</si>
  <si>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</si>
  <si>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</si>
  <si>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</si>
  <si>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</si>
  <si>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</si>
  <si>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</si>
  <si>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</si>
  <si>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</si>
  <si>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</si>
  <si>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Korhonen</t>
  </si>
  <si>
    <t>2.</t>
  </si>
  <si>
    <t>Tahko</t>
  </si>
  <si>
    <t>4.</t>
  </si>
  <si>
    <t>3.</t>
  </si>
  <si>
    <t>5.</t>
  </si>
  <si>
    <t>7.</t>
  </si>
  <si>
    <t>1.</t>
  </si>
  <si>
    <t>8.</t>
  </si>
  <si>
    <t>13.05. 1999  KoU - Tahko  2-0  (7-3, 6-3)</t>
  </si>
  <si>
    <t>15.05. 1999  Tahko - Kiri  2-1  (4-3, 2-6, 3-1)</t>
  </si>
  <si>
    <t>15.06. 1999  Tahko - KPL  2-0  (10-2, 3-0)</t>
  </si>
  <si>
    <t xml:space="preserve">  18 v   8 kk 10 pv</t>
  </si>
  <si>
    <t>2.  ottelu</t>
  </si>
  <si>
    <t xml:space="preserve">  18 v   8 kk 12 pv</t>
  </si>
  <si>
    <t>12.  ottelu</t>
  </si>
  <si>
    <t xml:space="preserve">  18 v   9 kk 12 pv</t>
  </si>
  <si>
    <t>13.</t>
  </si>
  <si>
    <t>Paukku</t>
  </si>
  <si>
    <t>ykköspesis</t>
  </si>
  <si>
    <t>Seurat</t>
  </si>
  <si>
    <t>Paukku = Hämeenlinnan Paukku  (1961)</t>
  </si>
  <si>
    <t>3.9.1980   Hyvinkää</t>
  </si>
  <si>
    <t>Tahko = Hyvinkään Tahko  (1915),  kasvattajaseura</t>
  </si>
  <si>
    <t>6.</t>
  </si>
  <si>
    <t>YKKÖSPESIS</t>
  </si>
  <si>
    <t>L+T</t>
  </si>
  <si>
    <t>10.</t>
  </si>
  <si>
    <t xml:space="preserve">Juha Korhonen  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</si>
  <si>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</si>
  <si>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</si>
  <si>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</si>
  <si>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</si>
  <si>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</si>
  <si>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</si>
  <si>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</si>
  <si>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</si>
  <si>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</si>
  <si>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</si>
  <si>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</si>
  <si>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</si>
  <si>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</si>
  <si>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02.08. 2003  Sotkamo</t>
  </si>
  <si>
    <t xml:space="preserve">  1-0  (1-1, 1-0)</t>
  </si>
  <si>
    <t>Länsi</t>
  </si>
  <si>
    <t>jok</t>
  </si>
  <si>
    <t>Santeri Haipus</t>
  </si>
  <si>
    <t>4120</t>
  </si>
  <si>
    <t>20.06. 2004  Hyvinkää</t>
  </si>
  <si>
    <t xml:space="preserve">  2-1  (5-1, 4-5, 1-0)</t>
  </si>
  <si>
    <t>2v</t>
  </si>
  <si>
    <t>II p</t>
  </si>
  <si>
    <t>Pasi Virtanen</t>
  </si>
  <si>
    <t>4310</t>
  </si>
  <si>
    <t>01.07. 2007  Kouvola</t>
  </si>
  <si>
    <t xml:space="preserve">  1-2  (3-3, 7-3, 0-2)</t>
  </si>
  <si>
    <t>Sami Sirviö</t>
  </si>
  <si>
    <t>5134</t>
  </si>
  <si>
    <t>28.06. 2009  Kuopio</t>
  </si>
  <si>
    <t xml:space="preserve">  2-1  (0-3, 5-3, 1-0)</t>
  </si>
  <si>
    <t>Riku Lehto</t>
  </si>
  <si>
    <t>6312</t>
  </si>
  <si>
    <t>04.07. 2010  Helsinki</t>
  </si>
  <si>
    <t xml:space="preserve">  2-0  (6-3, 23-6)</t>
  </si>
  <si>
    <t>Risto Ojanperä</t>
  </si>
  <si>
    <t>4994</t>
  </si>
  <si>
    <t>24.07. 2011  Kouvola</t>
  </si>
  <si>
    <t xml:space="preserve">  1-2  (6-1, 2-5, 1-1, 1-3)</t>
  </si>
  <si>
    <t>A</t>
  </si>
  <si>
    <t>Miika Rantatorikka</t>
  </si>
  <si>
    <t>5387</t>
  </si>
  <si>
    <t>22.07. 2012  Sotkamo</t>
  </si>
  <si>
    <t xml:space="preserve">  1-2  (5-1, 5-10, 0-3)</t>
  </si>
  <si>
    <t>5214</t>
  </si>
  <si>
    <t>14.07. 2013  Hyvinkää</t>
  </si>
  <si>
    <t xml:space="preserve">  0-2  (1-2, 0-1)</t>
  </si>
  <si>
    <t>5621</t>
  </si>
  <si>
    <t>Ikä ensimmäisessä ottelussa</t>
  </si>
  <si>
    <t>C - POJAT</t>
  </si>
  <si>
    <t>02.08. 1995  Varkaus</t>
  </si>
  <si>
    <t xml:space="preserve">  1-1  (12-7, 1-5)</t>
  </si>
  <si>
    <t>Tarmo Papinaho</t>
  </si>
  <si>
    <t>700</t>
  </si>
  <si>
    <t>B - POJAT</t>
  </si>
  <si>
    <t>15.08. 1997  Hyvinkää</t>
  </si>
  <si>
    <t xml:space="preserve">  2-1  (2-8, 4-2, 1-0)</t>
  </si>
  <si>
    <t>Juhani Latikka</t>
  </si>
  <si>
    <t>1895</t>
  </si>
  <si>
    <t>A - POJAT</t>
  </si>
  <si>
    <t>03.07. 1999  Sotkamo</t>
  </si>
  <si>
    <t xml:space="preserve">  2-1  (1-4, 3-1, 3-2)</t>
  </si>
  <si>
    <t>Juha Liljeqvist</t>
  </si>
  <si>
    <t>2421</t>
  </si>
  <si>
    <t>05.08. 2000  Oulu</t>
  </si>
  <si>
    <t xml:space="preserve">  1-2  (3-2, 0-5, 1-2)</t>
  </si>
  <si>
    <t>2p</t>
  </si>
  <si>
    <t>Yrjö-Pekka Hautamäki</t>
  </si>
  <si>
    <t>1900</t>
  </si>
  <si>
    <t>20.07. 2014  Seinäjoki</t>
  </si>
  <si>
    <t xml:space="preserve">  1-2  (0-1, 2-1, 0-1)</t>
  </si>
  <si>
    <t>Sami-Petteri Kivimäki</t>
  </si>
  <si>
    <t>5277</t>
  </si>
  <si>
    <t>28.06. 2015  Hyvinkää</t>
  </si>
  <si>
    <t xml:space="preserve">  1-2  1-2, 1-0, 0-1)</t>
  </si>
  <si>
    <t>4409</t>
  </si>
  <si>
    <t>s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</si>
  <si>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</si>
  <si>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</si>
  <si>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</si>
  <si>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</si>
  <si>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</si>
  <si>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Lehdistö</t>
  </si>
  <si>
    <t>Mikko Kuosmanen</t>
  </si>
  <si>
    <t>21 v  1 kk  5 pv</t>
  </si>
  <si>
    <t>30 v  9 kk  14 pv</t>
  </si>
  <si>
    <t xml:space="preserve"> ITÄ - LÄNSI - KORTTI</t>
  </si>
  <si>
    <t>0/3</t>
  </si>
  <si>
    <t>0/1</t>
  </si>
  <si>
    <t>5/6</t>
  </si>
  <si>
    <t>1/1</t>
  </si>
  <si>
    <t>2/2</t>
  </si>
  <si>
    <t>1/2</t>
  </si>
  <si>
    <t>4/13</t>
  </si>
  <si>
    <t>2/3</t>
  </si>
  <si>
    <t>2/5</t>
  </si>
  <si>
    <t>0/4</t>
  </si>
  <si>
    <t>3/7</t>
  </si>
  <si>
    <t>0/2</t>
  </si>
  <si>
    <t>6/10</t>
  </si>
  <si>
    <t>3/6</t>
  </si>
  <si>
    <t>3/3</t>
  </si>
  <si>
    <t>4/5</t>
  </si>
  <si>
    <t>6/13</t>
  </si>
  <si>
    <t>2/4</t>
  </si>
  <si>
    <t>1/3</t>
  </si>
  <si>
    <t>3/5</t>
  </si>
  <si>
    <t>4/6</t>
  </si>
  <si>
    <t>9/20</t>
  </si>
  <si>
    <t>9/15</t>
  </si>
  <si>
    <t>4/4</t>
  </si>
  <si>
    <t>Play off, voitot, voittoprosentti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</si>
  <si>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</si>
  <si>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</si>
  <si>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</si>
  <si>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</si>
  <si>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</si>
  <si>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</si>
  <si>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</si>
  <si>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</si>
  <si>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9.</t>
  </si>
  <si>
    <t>3-0  Lippo</t>
  </si>
  <si>
    <t>3-1  Kiri</t>
  </si>
  <si>
    <t>0-3  KiPa</t>
  </si>
  <si>
    <t>3-0  UPV</t>
  </si>
  <si>
    <t>1-3  SoJy</t>
  </si>
  <si>
    <t>1-2  Lippo</t>
  </si>
  <si>
    <t>3-2  Lippo</t>
  </si>
  <si>
    <t>0-2  PattU</t>
  </si>
  <si>
    <t>0-3  PattU</t>
  </si>
  <si>
    <t>2-0  KoU</t>
  </si>
  <si>
    <t>3-4  PattU</t>
  </si>
  <si>
    <t>Jatkosarja  3.</t>
  </si>
  <si>
    <t>1-2  SMJ</t>
  </si>
  <si>
    <t>2-3  KiPa</t>
  </si>
  <si>
    <t>0-2  SoJy</t>
  </si>
  <si>
    <t>Jatkosarja  7.</t>
  </si>
  <si>
    <t>3-2  NJ</t>
  </si>
  <si>
    <t>3-1  SoJy</t>
  </si>
  <si>
    <t>1-4  PattU</t>
  </si>
  <si>
    <t>0-3  Lippo</t>
  </si>
  <si>
    <t>0-4  ViVe</t>
  </si>
  <si>
    <t>2-4  JoMa</t>
  </si>
  <si>
    <t>2-3  JoMa</t>
  </si>
  <si>
    <t>3-1  JymyJussit</t>
  </si>
  <si>
    <t>0-3  SoJy</t>
  </si>
  <si>
    <t>1-2  JoMa</t>
  </si>
  <si>
    <t>0-3  JoMa</t>
  </si>
  <si>
    <t>Arvo-ottelut</t>
  </si>
  <si>
    <t>Mitalit</t>
  </si>
  <si>
    <t>KPL</t>
  </si>
  <si>
    <t>KPL = Kouvolan Pallonlyöjät  (1931)</t>
  </si>
  <si>
    <t>Minipudotuspelit;  2-0  Kiri</t>
  </si>
  <si>
    <t>3-0  KoU</t>
  </si>
  <si>
    <t>1-3  ViVe</t>
  </si>
  <si>
    <t>27.</t>
  </si>
  <si>
    <t>20.</t>
  </si>
  <si>
    <t>23.</t>
  </si>
  <si>
    <t>26.</t>
  </si>
  <si>
    <t>16.</t>
  </si>
  <si>
    <t>15.</t>
  </si>
  <si>
    <t>24.</t>
  </si>
  <si>
    <t>25.</t>
  </si>
  <si>
    <t>28.</t>
  </si>
  <si>
    <t>18.</t>
  </si>
  <si>
    <t>21.</t>
  </si>
  <si>
    <t>11.</t>
  </si>
  <si>
    <t>17.</t>
  </si>
  <si>
    <t>14.</t>
  </si>
  <si>
    <t xml:space="preserve">       Runkosarja TOP-30</t>
  </si>
  <si>
    <t>19.</t>
  </si>
  <si>
    <t>Ylempi loppusarja TOP-10</t>
  </si>
  <si>
    <t>SUOMENSARJA</t>
  </si>
  <si>
    <t>KAIKKI OTTELUT</t>
  </si>
  <si>
    <t>YHTEENSÄ</t>
  </si>
  <si>
    <t>3-1  KiPa</t>
  </si>
  <si>
    <t>3-2  SoJy</t>
  </si>
  <si>
    <t>1-1-0</t>
  </si>
  <si>
    <t>1-3-0</t>
  </si>
  <si>
    <t xml:space="preserve"> Vuoden pesäpalloilija  2012     &lt;&gt;   Tehopelaaja  2012     &lt;&gt;     Kärkilyöjäkuningas  2009, 2012, 2014     &lt;&gt;     Kultainen maila  2012, 2014     &lt;&gt;     Kultakypärä  2011, 2012     &lt;&gt;     Tähtipelaaja  2012     &lt;&gt;     Vuoden jokeri  2018</t>
  </si>
  <si>
    <t>01.07. 2018  Joensuu</t>
  </si>
  <si>
    <t>Itä</t>
  </si>
  <si>
    <t>4/10</t>
  </si>
  <si>
    <t>Matti Iivarinen</t>
  </si>
  <si>
    <t>4500</t>
  </si>
  <si>
    <t>41/84</t>
  </si>
  <si>
    <t>12/31</t>
  </si>
  <si>
    <t>16/27</t>
  </si>
  <si>
    <t xml:space="preserve">    Runkosarja TOP-10</t>
  </si>
  <si>
    <t>Jatkosarjat</t>
  </si>
  <si>
    <t xml:space="preserve">  Runkosarja TOP-10</t>
  </si>
  <si>
    <t>ka/l+t</t>
  </si>
  <si>
    <t>ka/kl</t>
  </si>
  <si>
    <t>46.</t>
  </si>
  <si>
    <t>0-3-0</t>
  </si>
  <si>
    <t>1-1-3</t>
  </si>
  <si>
    <t>33.</t>
  </si>
  <si>
    <t>TEHO</t>
  </si>
  <si>
    <t xml:space="preserve"> Ottelutilasto</t>
  </si>
  <si>
    <t xml:space="preserve">   300</t>
  </si>
  <si>
    <t xml:space="preserve">   400</t>
  </si>
  <si>
    <t xml:space="preserve"> Lyöjätilasto</t>
  </si>
  <si>
    <t xml:space="preserve"> Etenijätilasto</t>
  </si>
  <si>
    <t xml:space="preserve">   500</t>
  </si>
  <si>
    <t xml:space="preserve">   600</t>
  </si>
  <si>
    <t xml:space="preserve">   100</t>
  </si>
  <si>
    <t xml:space="preserve">   200</t>
  </si>
  <si>
    <t xml:space="preserve"> 1945 - 2000</t>
  </si>
  <si>
    <t xml:space="preserve"> 1979 - 2000</t>
  </si>
  <si>
    <t xml:space="preserve"> 1945 - 2001</t>
  </si>
  <si>
    <t xml:space="preserve"> 1979 - 2001</t>
  </si>
  <si>
    <t xml:space="preserve"> 1945 - 2002</t>
  </si>
  <si>
    <t xml:space="preserve"> 1979 - 2002</t>
  </si>
  <si>
    <t xml:space="preserve"> 1945 - 2003</t>
  </si>
  <si>
    <t xml:space="preserve"> 1979 - 2003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</si>
  <si>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</si>
  <si>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</si>
  <si>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</si>
  <si>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</si>
  <si>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</si>
  <si>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</si>
  <si>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</si>
  <si>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</si>
  <si>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</si>
  <si>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</si>
  <si>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</si>
  <si>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</si>
  <si>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</si>
  <si>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</si>
  <si>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</si>
  <si>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</si>
  <si>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</si>
  <si>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</si>
  <si>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</si>
  <si>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</si>
  <si>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</si>
  <si>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</si>
  <si>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</si>
  <si>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</si>
  <si>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</si>
  <si>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</si>
  <si>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</si>
  <si>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</si>
  <si>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1945 - 2018</t>
  </si>
  <si>
    <t xml:space="preserve"> 1979 - 2018</t>
  </si>
  <si>
    <t xml:space="preserve"> 1945 - 2019</t>
  </si>
  <si>
    <t xml:space="preserve"> 1979 - 2019</t>
  </si>
  <si>
    <t>29 v   9 kk 17 pv</t>
  </si>
  <si>
    <t>101.   20.06. 2010  KPL - Tahko  2-1</t>
  </si>
  <si>
    <t>33 v 10 kk   7 pv</t>
  </si>
  <si>
    <t xml:space="preserve">  35.   10.07. 2014  JoMa - Tahko  1-0</t>
  </si>
  <si>
    <t>36 v 10 kk 22 pv</t>
  </si>
  <si>
    <t xml:space="preserve">    9.   25.07. 2017  KPL - Tahko  0-2</t>
  </si>
  <si>
    <t xml:space="preserve">   700</t>
  </si>
  <si>
    <t xml:space="preserve">   800</t>
  </si>
  <si>
    <t xml:space="preserve">   900</t>
  </si>
  <si>
    <t xml:space="preserve">  1000</t>
  </si>
  <si>
    <t>218. ottelu</t>
  </si>
  <si>
    <t>326. ottelu</t>
  </si>
  <si>
    <t xml:space="preserve">  26.   19.08. 2011  KaMa - Tahko  0-2</t>
  </si>
  <si>
    <t>365. ottelu</t>
  </si>
  <si>
    <t xml:space="preserve">  18.   17.05. 2013  Tahko - KaMa  2-0</t>
  </si>
  <si>
    <t>411. ottelu</t>
  </si>
  <si>
    <t xml:space="preserve">  11.   15.07. 2014  Tahko - AA  2-0</t>
  </si>
  <si>
    <t xml:space="preserve">  38.   24.05. 2007  ViVe - Tahko  2-1</t>
  </si>
  <si>
    <t>456. ottelu</t>
  </si>
  <si>
    <t xml:space="preserve">    7.   05.06. 2016  ViVe - Tahko  2-0</t>
  </si>
  <si>
    <t>524. ottelu</t>
  </si>
  <si>
    <t xml:space="preserve">    6.   03.07. 2018  KPL - PattU  2-0</t>
  </si>
  <si>
    <t>550. ottelu</t>
  </si>
  <si>
    <t xml:space="preserve">    5.   09.06. 2019  Tahko - IPV  2-0</t>
  </si>
  <si>
    <t>494. ottelu</t>
  </si>
  <si>
    <t xml:space="preserve">    6.   11.07. 2017  KoU - KPL  0-2 </t>
  </si>
  <si>
    <t>406. ottelu</t>
  </si>
  <si>
    <t xml:space="preserve">  65.   03.07. 2014  Tahko - KiPa  1-0</t>
  </si>
  <si>
    <t>28 v 11 kk   6 pv</t>
  </si>
  <si>
    <t>153. ottelu</t>
  </si>
  <si>
    <t xml:space="preserve">    9.   23.08. 2018  KPL - KiPa  2-0</t>
  </si>
  <si>
    <t>103. ottelu</t>
  </si>
  <si>
    <t xml:space="preserve">  14.   15.08. 2009  Tahko - PattU  1-2</t>
  </si>
  <si>
    <t>22.</t>
  </si>
  <si>
    <t>31.</t>
  </si>
  <si>
    <t>66.</t>
  </si>
  <si>
    <t>83.</t>
  </si>
  <si>
    <t xml:space="preserve"> 1945 - 1999</t>
  </si>
  <si>
    <t xml:space="preserve"> 1979 - 1999</t>
  </si>
  <si>
    <t>72.</t>
  </si>
  <si>
    <t>35.</t>
  </si>
  <si>
    <t>12.</t>
  </si>
  <si>
    <t>IKÄ</t>
  </si>
  <si>
    <t>32.</t>
  </si>
  <si>
    <t>37.</t>
  </si>
  <si>
    <t>34.</t>
  </si>
  <si>
    <t>36.</t>
  </si>
  <si>
    <t>48.</t>
  </si>
  <si>
    <t>47.</t>
  </si>
  <si>
    <t>73.</t>
  </si>
  <si>
    <t>87.</t>
  </si>
  <si>
    <t>90.</t>
  </si>
  <si>
    <t>100.</t>
  </si>
  <si>
    <t>96.</t>
  </si>
  <si>
    <t>62.</t>
  </si>
  <si>
    <t>42.</t>
  </si>
  <si>
    <t>99.</t>
  </si>
  <si>
    <t>85.</t>
  </si>
  <si>
    <t>52.</t>
  </si>
  <si>
    <t>29.</t>
  </si>
  <si>
    <t xml:space="preserve"> RUNKOSARJA, KA / OTT</t>
  </si>
  <si>
    <t xml:space="preserve"> PLAY OFF,  KA / OTT</t>
  </si>
  <si>
    <t xml:space="preserve"> </t>
  </si>
  <si>
    <t xml:space="preserve">  21.   09.08. 2009  PattU - Tahko  2-1</t>
  </si>
  <si>
    <t xml:space="preserve"> Tehotilasto</t>
  </si>
  <si>
    <t xml:space="preserve">  1200</t>
  </si>
  <si>
    <t xml:space="preserve"> Kärkilyöjätilasto</t>
  </si>
  <si>
    <t xml:space="preserve">  2000</t>
  </si>
  <si>
    <t xml:space="preserve">  3000</t>
  </si>
  <si>
    <t>152. ottelu</t>
  </si>
  <si>
    <t xml:space="preserve">  61. ottelu</t>
  </si>
  <si>
    <t>126. ottelu</t>
  </si>
  <si>
    <t xml:space="preserve">  22.   07.08. 2005  PattU - Tahko  0-2</t>
  </si>
  <si>
    <t xml:space="preserve">  16.   23.08. 2014  Tahko - SMJ  2-1</t>
  </si>
  <si>
    <t xml:space="preserve">    6.   21.08. 2018  KiPa - KPL  1-0</t>
  </si>
  <si>
    <t>162. ottelu</t>
  </si>
  <si>
    <t>106. ottelu</t>
  </si>
  <si>
    <t xml:space="preserve">  17.   12.08. 2010  Tahko - Lippo  0-1</t>
  </si>
  <si>
    <t xml:space="preserve">    7.   20.08. 2017  KPL - KoU  2-0</t>
  </si>
  <si>
    <t xml:space="preserve">    7.   16.09. 2018  KPL - JoMa  0-2</t>
  </si>
  <si>
    <t>123. ottelu</t>
  </si>
  <si>
    <t>141. ottelu</t>
  </si>
  <si>
    <t>91.</t>
  </si>
  <si>
    <t>39.</t>
  </si>
  <si>
    <t>93.</t>
  </si>
  <si>
    <t>65.</t>
  </si>
  <si>
    <t>49.</t>
  </si>
  <si>
    <t>69.</t>
  </si>
  <si>
    <t>51.</t>
  </si>
  <si>
    <t>61.</t>
  </si>
  <si>
    <t>43.</t>
  </si>
  <si>
    <t>58.</t>
  </si>
  <si>
    <t xml:space="preserve"> RUNKOSARJA, TASASATASET,  ka. / peli</t>
  </si>
  <si>
    <t xml:space="preserve"> PLAY OFF, TASASATASET,  ka. / peli</t>
  </si>
  <si>
    <t>225.   27.06. 2006  Tahko - KPL  2-0</t>
  </si>
  <si>
    <t>25 v   9 kk 24 pv</t>
  </si>
  <si>
    <t xml:space="preserve"> Kunnaritilasto</t>
  </si>
  <si>
    <t>334. ottelu</t>
  </si>
  <si>
    <t>450. ottelu</t>
  </si>
  <si>
    <t xml:space="preserve">     20</t>
  </si>
  <si>
    <t xml:space="preserve">     30</t>
  </si>
  <si>
    <t xml:space="preserve">     40</t>
  </si>
  <si>
    <t xml:space="preserve">     50</t>
  </si>
  <si>
    <t xml:space="preserve">     60</t>
  </si>
  <si>
    <t xml:space="preserve">     70</t>
  </si>
  <si>
    <t xml:space="preserve">     80</t>
  </si>
  <si>
    <t>140. ottelu</t>
  </si>
  <si>
    <t>278. ottelu</t>
  </si>
  <si>
    <t>364. ottelu</t>
  </si>
  <si>
    <t>408. ottelu</t>
  </si>
  <si>
    <t>462. ottelu</t>
  </si>
  <si>
    <t>529. ottelu</t>
  </si>
  <si>
    <t xml:space="preserve">  51.   16.05. 2004  JoMa - Tahko  0-2</t>
  </si>
  <si>
    <t xml:space="preserve">  22.   10.07. 2009  KPL - Tahko  1-2</t>
  </si>
  <si>
    <t xml:space="preserve">  10.   21.07. 2011  KPL - Tahko  2-0</t>
  </si>
  <si>
    <t xml:space="preserve">    6.   05.08. 2012  PattU - Tahko  0-2</t>
  </si>
  <si>
    <t xml:space="preserve">    5.   08.07. 2014  Tahko - KPL  0-1</t>
  </si>
  <si>
    <t xml:space="preserve">    1.   28.06. 2016  Tahko - KoU  2-1</t>
  </si>
  <si>
    <t xml:space="preserve">    1.   17.07. 2018  KPL - HP  2-0</t>
  </si>
  <si>
    <t>136. ottelu</t>
  </si>
  <si>
    <t xml:space="preserve">  95.   05.08. 2003  KPL - Tahko  0-1</t>
  </si>
  <si>
    <t>306. ottelu</t>
  </si>
  <si>
    <t>235. ottelu</t>
  </si>
  <si>
    <t xml:space="preserve">  63.   24.07. 2008  PattU - Tahko  2-0</t>
  </si>
  <si>
    <t xml:space="preserve">    9.   13.05. 2016  Tahko - Lippo Pesis  2-0</t>
  </si>
  <si>
    <t>105.   20.05. 2007  Tahko - PattU  0-2</t>
  </si>
  <si>
    <t>216. ottelu</t>
  </si>
  <si>
    <t>372. ottelu</t>
  </si>
  <si>
    <t>543. ottelu</t>
  </si>
  <si>
    <t xml:space="preserve">  22.   09.06. 2013  Tahko - KPL  2-1</t>
  </si>
  <si>
    <t xml:space="preserve">    3.   18.05. 2019  Tahko - PattU  2-0</t>
  </si>
  <si>
    <t>127.   18.07. 2010  SoJy - Tahko  2-1</t>
  </si>
  <si>
    <t xml:space="preserve">  95.   12.07. 2012  Tahko - JoMa  0-1</t>
  </si>
  <si>
    <t>103.   12.09. 1999  KiPa - Tahko  2-1,  fin 3/3</t>
  </si>
  <si>
    <t>0/2  ViVe</t>
  </si>
  <si>
    <t xml:space="preserve"> 1945 - 2020</t>
  </si>
  <si>
    <t>576. ottelu</t>
  </si>
  <si>
    <t xml:space="preserve">  1100</t>
  </si>
  <si>
    <t xml:space="preserve">    4.   21.07. 2020  Tahko - KoU  0-1</t>
  </si>
  <si>
    <t>577. ottelu</t>
  </si>
  <si>
    <t xml:space="preserve">  1500</t>
  </si>
  <si>
    <t xml:space="preserve">    3.   06.08. 2020  Tahko - JymyJussit  1-0</t>
  </si>
  <si>
    <t>580. ottelu</t>
  </si>
  <si>
    <t xml:space="preserve"> 1979 - 2020</t>
  </si>
  <si>
    <t xml:space="preserve">  2-0  (4-1, 2-1)</t>
  </si>
  <si>
    <t xml:space="preserve"> 1945 - 2021</t>
  </si>
  <si>
    <t>40 v   9 kk 27 pv</t>
  </si>
  <si>
    <t xml:space="preserve">    4.   07.07. 2021  KeKi - Tahko  2-0</t>
  </si>
  <si>
    <t xml:space="preserve">     90</t>
  </si>
  <si>
    <t xml:space="preserve">    1.   19.07. 2020  KoU - Tahko  2-1</t>
  </si>
  <si>
    <t xml:space="preserve">    4.   17.08. 2021  Tahko - SiiPe  2-0</t>
  </si>
  <si>
    <t>614. ottelu</t>
  </si>
  <si>
    <t xml:space="preserve">  43.   10.07. 2021  Tahko - KeKi  2-0</t>
  </si>
  <si>
    <t>601. ottelu</t>
  </si>
  <si>
    <t xml:space="preserve"> Ykkösenä  19.06. 2016 -</t>
  </si>
  <si>
    <t>ENSIMMÄISET RUNKOSARJASSA</t>
  </si>
  <si>
    <t>ENSIMMÄISET PUDOTUSPELEISSÄ</t>
  </si>
  <si>
    <t>YLEISÖ</t>
  </si>
  <si>
    <t>13.   12.08. 2000  Tahko - UPV  2-0</t>
  </si>
  <si>
    <t xml:space="preserve">  1.   12.08 1999  Tahko - Lippo  2-1 s</t>
  </si>
  <si>
    <t xml:space="preserve">  2.   14.08. 1999  Lippo - Tahko  0-1</t>
  </si>
  <si>
    <t xml:space="preserve">  8.   05.09. 1999  KiPa - Tahko  1-0</t>
  </si>
  <si>
    <t>18 v 11 kk 11 pv</t>
  </si>
  <si>
    <t>18 v 11 kk   9 pv</t>
  </si>
  <si>
    <t>19 v   0 kk   2 pv</t>
  </si>
  <si>
    <t>19 v 11 kk   9 pv</t>
  </si>
  <si>
    <t xml:space="preserve"> KUNNARIT YHDESSÄ OTTELUSSA</t>
  </si>
  <si>
    <t xml:space="preserve"> 1979 - 2021</t>
  </si>
  <si>
    <t xml:space="preserve">      PESISPÖRSSI</t>
  </si>
  <si>
    <t>PISTEET</t>
  </si>
  <si>
    <t>KAUSI</t>
  </si>
  <si>
    <t>TÄHDET</t>
  </si>
  <si>
    <t>115.</t>
  </si>
  <si>
    <t>77.</t>
  </si>
  <si>
    <t>41.</t>
  </si>
  <si>
    <t>PattU - Tahko  0-2</t>
  </si>
  <si>
    <t>Tahko - KoU  2-1 s</t>
  </si>
  <si>
    <t>KPL - HP  2-0</t>
  </si>
  <si>
    <t>Tahko - KPL  1-0</t>
  </si>
  <si>
    <t>KoU - Tahko  2-1 k</t>
  </si>
  <si>
    <t>3-1  KPL</t>
  </si>
  <si>
    <t>1-3  Manse PP</t>
  </si>
  <si>
    <t>11/23</t>
  </si>
  <si>
    <t>3/11</t>
  </si>
  <si>
    <t>0/8</t>
  </si>
  <si>
    <t xml:space="preserve"> Ykkösenä  11.08. 2019 -31.07. 2022</t>
  </si>
  <si>
    <t xml:space="preserve"> 1945 - 2022</t>
  </si>
  <si>
    <t xml:space="preserve"> 1979 - 2022</t>
  </si>
  <si>
    <t xml:space="preserve">    1.   01.06. 2022  PattU - Tahko  1-2</t>
  </si>
  <si>
    <t>624. ottelu</t>
  </si>
  <si>
    <t xml:space="preserve">  13.   17.08. 2014  JymyJussit - Tahko  1-2</t>
  </si>
  <si>
    <t>KÄRKILYÖNNIT RUNKOSARJASSA</t>
  </si>
  <si>
    <t>YHT</t>
  </si>
  <si>
    <t>%</t>
  </si>
  <si>
    <t>KÄRKILYÖNNIT YLEMMISSÄ PUDOTUSPELEISSÄ</t>
  </si>
  <si>
    <t>30.</t>
  </si>
  <si>
    <t xml:space="preserve">KÄRKILYÖNNIT </t>
  </si>
  <si>
    <t>RUNKOSARJA</t>
  </si>
  <si>
    <t>PLAY OFF</t>
  </si>
  <si>
    <t>VUOSITTAISET SIJOITUKSET  TOP - 30</t>
  </si>
  <si>
    <t>3-1-0</t>
  </si>
  <si>
    <t>TOP-30     1945-2023</t>
  </si>
  <si>
    <t xml:space="preserve"> 1945 - 2023</t>
  </si>
  <si>
    <t xml:space="preserve">  1300</t>
  </si>
  <si>
    <t xml:space="preserve">    4.   03.08. 2023  Tahko - KiPa  2-0</t>
  </si>
  <si>
    <t>670. ottelu</t>
  </si>
  <si>
    <t xml:space="preserve"> 26.05. 2023 -</t>
  </si>
  <si>
    <t xml:space="preserve"> SIJOITUS</t>
  </si>
  <si>
    <t>1043.</t>
  </si>
  <si>
    <t>708.</t>
  </si>
  <si>
    <t>948.</t>
  </si>
  <si>
    <t>847.</t>
  </si>
  <si>
    <t>540.</t>
  </si>
  <si>
    <t>789.</t>
  </si>
  <si>
    <t>440.</t>
  </si>
  <si>
    <t>656.</t>
  </si>
  <si>
    <t>558.</t>
  </si>
  <si>
    <t>390.</t>
  </si>
  <si>
    <t>597.</t>
  </si>
  <si>
    <t>210.</t>
  </si>
  <si>
    <t>432.</t>
  </si>
  <si>
    <t>315.</t>
  </si>
  <si>
    <t>283.</t>
  </si>
  <si>
    <t>474.</t>
  </si>
  <si>
    <t>145.</t>
  </si>
  <si>
    <t>358.</t>
  </si>
  <si>
    <t>240.</t>
  </si>
  <si>
    <t>233.</t>
  </si>
  <si>
    <t>386.</t>
  </si>
  <si>
    <t>340.</t>
  </si>
  <si>
    <t>178.</t>
  </si>
  <si>
    <t>194.</t>
  </si>
  <si>
    <t>307.</t>
  </si>
  <si>
    <t>285.</t>
  </si>
  <si>
    <t>141.</t>
  </si>
  <si>
    <t>166.</t>
  </si>
  <si>
    <t>248.</t>
  </si>
  <si>
    <t>252.</t>
  </si>
  <si>
    <t>117.</t>
  </si>
  <si>
    <t>142.</t>
  </si>
  <si>
    <t>196.</t>
  </si>
  <si>
    <t>211.</t>
  </si>
  <si>
    <t>106.</t>
  </si>
  <si>
    <t>159.</t>
  </si>
  <si>
    <t>175.</t>
  </si>
  <si>
    <t>132.</t>
  </si>
  <si>
    <t>163.</t>
  </si>
  <si>
    <t>111.</t>
  </si>
  <si>
    <t>138.</t>
  </si>
  <si>
    <t>121.</t>
  </si>
  <si>
    <t>98.</t>
  </si>
  <si>
    <t>86.</t>
  </si>
  <si>
    <t>59.</t>
  </si>
  <si>
    <t>57.</t>
  </si>
  <si>
    <t>54.</t>
  </si>
  <si>
    <t>236.</t>
  </si>
  <si>
    <t>262.</t>
  </si>
  <si>
    <t>208.</t>
  </si>
  <si>
    <t>197.</t>
  </si>
  <si>
    <t>273.</t>
  </si>
  <si>
    <t>151.</t>
  </si>
  <si>
    <t>162.</t>
  </si>
  <si>
    <t>167.</t>
  </si>
  <si>
    <t>177.</t>
  </si>
  <si>
    <t>105.</t>
  </si>
  <si>
    <t>122.</t>
  </si>
  <si>
    <t>Puolivälieräkarsinta Tahko - JymyJussit  1-2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</si>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</sst>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165" fontId="4" fillId="5" borderId="3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5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8" fillId="2" borderId="0" xfId="0" applyFont="1" applyFill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6" fillId="0" borderId="0" xfId="0" applyFont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0" fontId="4" fillId="7" borderId="3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7" borderId="2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165" fontId="4" fillId="4" borderId="3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/>
    </xf>
    <xf numFmtId="165" fontId="4" fillId="2" borderId="0" xfId="0" applyNumberFormat="1" applyFont="1" applyFill="1" applyAlignment="1">
      <alignment horizontal="left"/>
    </xf>
    <xf numFmtId="0" fontId="7" fillId="2" borderId="0" xfId="0" applyFont="1" applyFill="1"/>
    <xf numFmtId="166" fontId="4" fillId="2" borderId="0" xfId="0" applyNumberFormat="1" applyFont="1" applyFill="1"/>
    <xf numFmtId="0" fontId="4" fillId="0" borderId="0" xfId="0" applyFont="1" applyAlignment="1">
      <alignment horizontal="left"/>
    </xf>
    <xf numFmtId="0" fontId="4" fillId="4" borderId="0" xfId="0" applyFont="1" applyFill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 vertical="center"/>
    </xf>
    <xf numFmtId="165" fontId="4" fillId="6" borderId="3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7" fillId="3" borderId="7" xfId="0" applyFont="1" applyFill="1" applyBorder="1"/>
    <xf numFmtId="0" fontId="7" fillId="3" borderId="6" xfId="0" applyFont="1" applyFill="1" applyBorder="1" applyAlignment="1">
      <alignment horizontal="left"/>
    </xf>
    <xf numFmtId="49" fontId="7" fillId="3" borderId="6" xfId="0" applyNumberFormat="1" applyFont="1" applyFill="1" applyBorder="1"/>
    <xf numFmtId="0" fontId="4" fillId="3" borderId="8" xfId="0" applyFont="1" applyFill="1" applyBorder="1"/>
    <xf numFmtId="0" fontId="10" fillId="5" borderId="1" xfId="0" applyFont="1" applyFill="1" applyBorder="1"/>
    <xf numFmtId="0" fontId="10" fillId="5" borderId="1" xfId="0" applyFont="1" applyFill="1" applyBorder="1" applyAlignment="1">
      <alignment vertical="top"/>
    </xf>
    <xf numFmtId="165" fontId="4" fillId="7" borderId="3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49" fontId="4" fillId="5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7" fillId="3" borderId="6" xfId="0" applyNumberFormat="1" applyFont="1" applyFill="1" applyBorder="1" applyAlignment="1">
      <alignment horizontal="left"/>
    </xf>
    <xf numFmtId="49" fontId="4" fillId="7" borderId="1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3" borderId="2" xfId="0" applyNumberFormat="1" applyFont="1" applyFill="1" applyBorder="1"/>
    <xf numFmtId="0" fontId="7" fillId="3" borderId="2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8" borderId="4" xfId="0" applyFont="1" applyFill="1" applyBorder="1"/>
    <xf numFmtId="0" fontId="4" fillId="8" borderId="4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49" fontId="4" fillId="9" borderId="1" xfId="0" applyNumberFormat="1" applyFont="1" applyFill="1" applyBorder="1" applyAlignment="1">
      <alignment horizontal="left"/>
    </xf>
    <xf numFmtId="0" fontId="4" fillId="9" borderId="3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49" fontId="4" fillId="9" borderId="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65" fontId="4" fillId="9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1" fontId="4" fillId="4" borderId="0" xfId="0" applyNumberFormat="1" applyFont="1" applyFill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3" borderId="7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0" fontId="5" fillId="4" borderId="0" xfId="0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167" fontId="4" fillId="4" borderId="0" xfId="0" applyNumberFormat="1" applyFont="1" applyFill="1"/>
    <xf numFmtId="2" fontId="4" fillId="3" borderId="6" xfId="0" applyNumberFormat="1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5" fillId="0" borderId="0" xfId="0" applyFont="1"/>
    <xf numFmtId="164" fontId="4" fillId="4" borderId="0" xfId="0" applyNumberFormat="1" applyFont="1" applyFill="1" applyAlignment="1">
      <alignment horizontal="center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167" fontId="4" fillId="4" borderId="12" xfId="0" applyNumberFormat="1" applyFont="1" applyFill="1" applyBorder="1" applyAlignment="1">
      <alignment horizontal="center"/>
    </xf>
    <xf numFmtId="49" fontId="4" fillId="4" borderId="12" xfId="0" applyNumberFormat="1" applyFont="1" applyFill="1" applyBorder="1"/>
    <xf numFmtId="0" fontId="1" fillId="2" borderId="0" xfId="0" applyFont="1" applyFill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5" fontId="4" fillId="3" borderId="13" xfId="1" applyNumberFormat="1" applyFont="1" applyFill="1" applyBorder="1" applyAlignment="1">
      <alignment horizontal="center"/>
    </xf>
    <xf numFmtId="1" fontId="4" fillId="3" borderId="13" xfId="0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2" borderId="14" xfId="0" applyFont="1" applyFill="1" applyBorder="1"/>
    <xf numFmtId="1" fontId="4" fillId="4" borderId="0" xfId="0" quotePrefix="1" applyNumberFormat="1" applyFont="1" applyFill="1" applyAlignment="1">
      <alignment horizontal="right"/>
    </xf>
    <xf numFmtId="2" fontId="4" fillId="3" borderId="8" xfId="0" applyNumberFormat="1" applyFont="1" applyFill="1" applyBorder="1"/>
    <xf numFmtId="1" fontId="4" fillId="4" borderId="0" xfId="0" applyNumberFormat="1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2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8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28515625" style="61" customWidth="1"/>
    <col min="34" max="34" width="14.42578125" style="61" customWidth="1"/>
    <col min="35" max="35" width="11.5703125" style="61" customWidth="1"/>
    <col min="36" max="36" width="11.7109375" style="61" customWidth="1"/>
    <col min="37" max="37" width="0.7109375" style="61" customWidth="1"/>
    <col min="38" max="40" width="6.7109375" style="61" customWidth="1"/>
    <col min="41" max="43" width="5.7109375" style="61" customWidth="1"/>
    <col min="44" max="44" width="101.140625" style="234" customWidth="1"/>
    <col min="45" max="45" width="75.140625" style="234" customWidth="1"/>
    <col min="46" max="46" width="120.7109375" style="234" customWidth="1"/>
    <col min="47" max="47" width="29.7109375" style="234" customWidth="1"/>
    <col min="48" max="48" width="48.140625" style="234" bestFit="1" customWidth="1"/>
    <col min="49" max="49" width="29.7109375" style="234" customWidth="1"/>
  </cols>
  <sheetData>
    <row r="1" spans="1:51" ht="19.5" customHeight="1" x14ac:dyDescent="0.25">
      <c r="A1" s="4"/>
      <c r="B1" s="5" t="s">
        <v>33</v>
      </c>
      <c r="C1" s="6"/>
      <c r="D1" s="7"/>
      <c r="E1" s="8" t="s">
        <v>55</v>
      </c>
      <c r="F1" s="5"/>
      <c r="G1" s="5"/>
      <c r="H1" s="5"/>
      <c r="I1" s="5"/>
      <c r="J1" s="6"/>
      <c r="K1" s="6"/>
      <c r="L1" s="5"/>
      <c r="M1" s="6"/>
      <c r="N1" s="6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0"/>
      <c r="AS1" s="40"/>
      <c r="AT1" s="40"/>
    </row>
    <row r="2" spans="1:51" s="3" customFormat="1" ht="15" customHeight="1" x14ac:dyDescent="0.25">
      <c r="A2" s="2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231</v>
      </c>
      <c r="Q2" s="13"/>
      <c r="R2" s="13"/>
      <c r="S2" s="20"/>
      <c r="T2" s="18"/>
      <c r="U2" s="19" t="s">
        <v>15</v>
      </c>
      <c r="V2" s="13"/>
      <c r="W2" s="13"/>
      <c r="X2" s="13"/>
      <c r="Y2" s="19"/>
      <c r="Z2" s="14"/>
      <c r="AA2" s="18"/>
      <c r="AB2" s="21" t="s">
        <v>233</v>
      </c>
      <c r="AC2" s="19"/>
      <c r="AD2" s="13"/>
      <c r="AE2" s="20"/>
      <c r="AF2" s="18"/>
      <c r="AG2" s="21" t="s">
        <v>173</v>
      </c>
      <c r="AH2" s="13"/>
      <c r="AI2" s="13"/>
      <c r="AJ2" s="14"/>
      <c r="AK2" s="18"/>
      <c r="AL2" s="21" t="s">
        <v>210</v>
      </c>
      <c r="AM2" s="19"/>
      <c r="AN2" s="13"/>
      <c r="AO2" s="56"/>
      <c r="AP2" s="13" t="s">
        <v>211</v>
      </c>
      <c r="AQ2" s="14"/>
      <c r="AR2" s="40"/>
      <c r="AS2" s="40"/>
      <c r="AT2" s="40"/>
      <c r="AU2" s="234"/>
      <c r="AV2" s="234"/>
      <c r="AW2" s="234"/>
      <c r="AX2"/>
      <c r="AY2"/>
    </row>
    <row r="3" spans="1:51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59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59</v>
      </c>
      <c r="AE3" s="17" t="s">
        <v>17</v>
      </c>
      <c r="AF3" s="22"/>
      <c r="AG3" s="17" t="s">
        <v>174</v>
      </c>
      <c r="AH3" s="17" t="s">
        <v>175</v>
      </c>
      <c r="AI3" s="14" t="s">
        <v>176</v>
      </c>
      <c r="AJ3" s="17" t="s">
        <v>177</v>
      </c>
      <c r="AK3" s="22"/>
      <c r="AL3" s="17" t="s">
        <v>23</v>
      </c>
      <c r="AM3" s="17" t="s">
        <v>24</v>
      </c>
      <c r="AN3" s="14" t="s">
        <v>178</v>
      </c>
      <c r="AO3" s="14" t="s">
        <v>30</v>
      </c>
      <c r="AP3" s="16" t="s">
        <v>31</v>
      </c>
      <c r="AQ3" s="17" t="s">
        <v>32</v>
      </c>
      <c r="AR3" s="40"/>
      <c r="AS3" s="40"/>
      <c r="AT3" s="40"/>
      <c r="AU3" s="234"/>
      <c r="AV3" s="234"/>
      <c r="AW3" s="234"/>
      <c r="AX3"/>
      <c r="AY3"/>
    </row>
    <row r="4" spans="1:51" s="3" customFormat="1" ht="15" customHeight="1" x14ac:dyDescent="0.25">
      <c r="A4" s="2"/>
      <c r="B4" s="23">
        <v>1998</v>
      </c>
      <c r="C4" s="23" t="s">
        <v>50</v>
      </c>
      <c r="D4" s="24" t="s">
        <v>51</v>
      </c>
      <c r="E4" s="23"/>
      <c r="F4" s="25" t="s">
        <v>52</v>
      </c>
      <c r="G4" s="64"/>
      <c r="H4" s="6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39"/>
      <c r="U4" s="27"/>
      <c r="V4" s="27"/>
      <c r="W4" s="27"/>
      <c r="X4" s="27"/>
      <c r="Y4" s="27"/>
      <c r="Z4" s="27"/>
      <c r="AA4" s="22"/>
      <c r="AB4" s="17"/>
      <c r="AC4" s="17"/>
      <c r="AD4" s="17"/>
      <c r="AE4" s="17"/>
      <c r="AF4" s="22"/>
      <c r="AG4" s="29"/>
      <c r="AH4" s="29"/>
      <c r="AI4" s="29"/>
      <c r="AJ4" s="29"/>
      <c r="AK4" s="22"/>
      <c r="AL4" s="27"/>
      <c r="AM4" s="27"/>
      <c r="AN4" s="29"/>
      <c r="AO4" s="27"/>
      <c r="AP4" s="27"/>
      <c r="AQ4" s="27"/>
      <c r="AR4" s="40"/>
      <c r="AS4" s="40"/>
      <c r="AT4" s="40"/>
      <c r="AU4" s="234"/>
      <c r="AV4" s="234"/>
      <c r="AW4" s="234"/>
      <c r="AX4"/>
      <c r="AY4"/>
    </row>
    <row r="5" spans="1:51" s="3" customFormat="1" ht="15" customHeight="1" x14ac:dyDescent="0.25">
      <c r="A5" s="2"/>
      <c r="B5" s="27">
        <v>1999</v>
      </c>
      <c r="C5" s="27" t="s">
        <v>34</v>
      </c>
      <c r="D5" s="30" t="s">
        <v>35</v>
      </c>
      <c r="E5" s="27">
        <v>26</v>
      </c>
      <c r="F5" s="27">
        <v>2</v>
      </c>
      <c r="G5" s="27">
        <v>22</v>
      </c>
      <c r="H5" s="27">
        <v>13</v>
      </c>
      <c r="I5" s="27">
        <v>89</v>
      </c>
      <c r="J5" s="27">
        <v>8</v>
      </c>
      <c r="K5" s="27">
        <v>19</v>
      </c>
      <c r="L5" s="27">
        <v>38</v>
      </c>
      <c r="M5" s="27">
        <v>24</v>
      </c>
      <c r="N5" s="31">
        <v>0.54500000000000004</v>
      </c>
      <c r="O5" s="22">
        <f t="shared" ref="O5:O16" si="0">PRODUCT(I5/N5)</f>
        <v>163.30275229357798</v>
      </c>
      <c r="P5" s="17" t="s">
        <v>217</v>
      </c>
      <c r="Q5" s="17"/>
      <c r="R5" s="17"/>
      <c r="S5" s="17"/>
      <c r="T5" s="39"/>
      <c r="U5" s="27">
        <v>10</v>
      </c>
      <c r="V5" s="27">
        <v>0</v>
      </c>
      <c r="W5" s="27">
        <v>2</v>
      </c>
      <c r="X5" s="27">
        <v>1</v>
      </c>
      <c r="Y5" s="27">
        <v>20</v>
      </c>
      <c r="Z5" s="31">
        <v>0.38500000000000001</v>
      </c>
      <c r="AA5" s="22"/>
      <c r="AB5" s="17"/>
      <c r="AC5" s="17"/>
      <c r="AD5" s="17"/>
      <c r="AE5" s="17"/>
      <c r="AF5" s="22"/>
      <c r="AG5" s="29" t="s">
        <v>183</v>
      </c>
      <c r="AH5" s="29" t="s">
        <v>184</v>
      </c>
      <c r="AI5" s="29"/>
      <c r="AJ5" s="29" t="s">
        <v>185</v>
      </c>
      <c r="AK5" s="22"/>
      <c r="AL5" s="27"/>
      <c r="AM5" s="27"/>
      <c r="AN5" s="29"/>
      <c r="AO5" s="27"/>
      <c r="AP5" s="27">
        <v>1</v>
      </c>
      <c r="AQ5" s="27"/>
      <c r="AR5" s="40"/>
      <c r="AS5" s="40"/>
      <c r="AT5" s="40"/>
      <c r="AU5" s="234"/>
      <c r="AV5" s="234"/>
      <c r="AW5" s="234"/>
      <c r="AX5"/>
      <c r="AY5"/>
    </row>
    <row r="6" spans="1:51" s="3" customFormat="1" ht="15" customHeight="1" x14ac:dyDescent="0.25">
      <c r="A6" s="2"/>
      <c r="B6" s="27">
        <v>2000</v>
      </c>
      <c r="C6" s="27" t="s">
        <v>36</v>
      </c>
      <c r="D6" s="30" t="s">
        <v>35</v>
      </c>
      <c r="E6" s="27">
        <v>28</v>
      </c>
      <c r="F6" s="27">
        <v>6</v>
      </c>
      <c r="G6" s="27">
        <v>26</v>
      </c>
      <c r="H6" s="27">
        <v>21</v>
      </c>
      <c r="I6" s="27">
        <v>124</v>
      </c>
      <c r="J6" s="27">
        <v>17</v>
      </c>
      <c r="K6" s="27">
        <v>36</v>
      </c>
      <c r="L6" s="27">
        <v>39</v>
      </c>
      <c r="M6" s="27">
        <v>32</v>
      </c>
      <c r="N6" s="31">
        <v>0.58799999999999997</v>
      </c>
      <c r="O6" s="22">
        <f t="shared" si="0"/>
        <v>210.8843537414966</v>
      </c>
      <c r="P6" s="17" t="s">
        <v>218</v>
      </c>
      <c r="Q6" s="17"/>
      <c r="R6" s="17" t="s">
        <v>219</v>
      </c>
      <c r="S6" s="17"/>
      <c r="T6" s="39"/>
      <c r="U6" s="27">
        <v>10</v>
      </c>
      <c r="V6" s="27">
        <v>1</v>
      </c>
      <c r="W6" s="27">
        <v>4</v>
      </c>
      <c r="X6" s="27">
        <v>7</v>
      </c>
      <c r="Y6" s="27">
        <v>34</v>
      </c>
      <c r="Z6" s="31">
        <v>0.53100000000000003</v>
      </c>
      <c r="AA6" s="22"/>
      <c r="AB6" s="17"/>
      <c r="AC6" s="17"/>
      <c r="AD6" s="17"/>
      <c r="AE6" s="17"/>
      <c r="AF6" s="22"/>
      <c r="AG6" s="29" t="s">
        <v>186</v>
      </c>
      <c r="AH6" s="29" t="s">
        <v>187</v>
      </c>
      <c r="AI6" s="29" t="s">
        <v>188</v>
      </c>
      <c r="AJ6" s="29"/>
      <c r="AK6" s="22"/>
      <c r="AL6" s="27"/>
      <c r="AM6" s="27"/>
      <c r="AN6" s="29"/>
      <c r="AO6" s="27"/>
      <c r="AP6" s="27"/>
      <c r="AQ6" s="27"/>
      <c r="AR6" s="40"/>
      <c r="AS6" s="40"/>
      <c r="AT6" s="40"/>
      <c r="AU6" s="234"/>
      <c r="AV6" s="234"/>
      <c r="AW6" s="234"/>
      <c r="AX6"/>
      <c r="AY6"/>
    </row>
    <row r="7" spans="1:51" s="3" customFormat="1" ht="15" customHeight="1" x14ac:dyDescent="0.25">
      <c r="A7" s="2"/>
      <c r="B7" s="27">
        <v>2001</v>
      </c>
      <c r="C7" s="27" t="s">
        <v>36</v>
      </c>
      <c r="D7" s="30" t="s">
        <v>35</v>
      </c>
      <c r="E7" s="27">
        <v>28</v>
      </c>
      <c r="F7" s="27">
        <v>8</v>
      </c>
      <c r="G7" s="27">
        <v>55</v>
      </c>
      <c r="H7" s="27">
        <v>32</v>
      </c>
      <c r="I7" s="27">
        <v>147</v>
      </c>
      <c r="J7" s="27">
        <v>8</v>
      </c>
      <c r="K7" s="27">
        <v>24</v>
      </c>
      <c r="L7" s="27">
        <v>52</v>
      </c>
      <c r="M7" s="27">
        <v>63</v>
      </c>
      <c r="N7" s="31">
        <v>0.65</v>
      </c>
      <c r="O7" s="22">
        <f t="shared" si="0"/>
        <v>226.15384615384613</v>
      </c>
      <c r="P7" s="17" t="s">
        <v>39</v>
      </c>
      <c r="Q7" s="17" t="s">
        <v>220</v>
      </c>
      <c r="R7" s="27" t="s">
        <v>37</v>
      </c>
      <c r="S7" s="17" t="s">
        <v>232</v>
      </c>
      <c r="T7" s="39"/>
      <c r="U7" s="27">
        <v>10</v>
      </c>
      <c r="V7" s="27">
        <v>2</v>
      </c>
      <c r="W7" s="27">
        <v>12</v>
      </c>
      <c r="X7" s="27">
        <v>8</v>
      </c>
      <c r="Y7" s="27">
        <v>36</v>
      </c>
      <c r="Z7" s="31">
        <v>0.6</v>
      </c>
      <c r="AA7" s="22"/>
      <c r="AB7" s="17" t="s">
        <v>182</v>
      </c>
      <c r="AC7" s="17"/>
      <c r="AD7" s="17" t="s">
        <v>39</v>
      </c>
      <c r="AE7" s="17"/>
      <c r="AF7" s="22"/>
      <c r="AG7" s="29" t="s">
        <v>189</v>
      </c>
      <c r="AH7" s="29" t="s">
        <v>185</v>
      </c>
      <c r="AI7" s="29" t="s">
        <v>190</v>
      </c>
      <c r="AJ7" s="29"/>
      <c r="AK7" s="22"/>
      <c r="AL7" s="27"/>
      <c r="AM7" s="27"/>
      <c r="AN7" s="27"/>
      <c r="AO7" s="27"/>
      <c r="AP7" s="27"/>
      <c r="AQ7" s="27"/>
      <c r="AR7" s="40"/>
      <c r="AS7" s="40"/>
      <c r="AT7" s="40"/>
      <c r="AU7" s="234"/>
      <c r="AV7" s="234"/>
      <c r="AW7" s="234"/>
      <c r="AX7"/>
      <c r="AY7"/>
    </row>
    <row r="8" spans="1:51" s="3" customFormat="1" ht="15" customHeight="1" x14ac:dyDescent="0.25">
      <c r="A8" s="2"/>
      <c r="B8" s="27">
        <v>2002</v>
      </c>
      <c r="C8" s="27" t="s">
        <v>37</v>
      </c>
      <c r="D8" s="30" t="s">
        <v>35</v>
      </c>
      <c r="E8" s="27">
        <v>29</v>
      </c>
      <c r="F8" s="27">
        <v>2</v>
      </c>
      <c r="G8" s="27">
        <v>35</v>
      </c>
      <c r="H8" s="27">
        <v>17</v>
      </c>
      <c r="I8" s="27">
        <v>131</v>
      </c>
      <c r="J8" s="27">
        <v>4</v>
      </c>
      <c r="K8" s="27">
        <v>30</v>
      </c>
      <c r="L8" s="27">
        <v>60</v>
      </c>
      <c r="M8" s="27">
        <v>37</v>
      </c>
      <c r="N8" s="31">
        <v>0.61499999999999999</v>
      </c>
      <c r="O8" s="22">
        <f t="shared" si="0"/>
        <v>213.00813008130081</v>
      </c>
      <c r="P8" s="17" t="s">
        <v>221</v>
      </c>
      <c r="Q8" s="17"/>
      <c r="R8" s="17" t="s">
        <v>222</v>
      </c>
      <c r="S8" s="17" t="s">
        <v>219</v>
      </c>
      <c r="T8" s="39"/>
      <c r="U8" s="27">
        <v>8</v>
      </c>
      <c r="V8" s="27">
        <v>0</v>
      </c>
      <c r="W8" s="27">
        <v>14</v>
      </c>
      <c r="X8" s="27">
        <v>3</v>
      </c>
      <c r="Y8" s="27">
        <v>37</v>
      </c>
      <c r="Z8" s="31">
        <v>0.58699999999999997</v>
      </c>
      <c r="AA8" s="22"/>
      <c r="AB8" s="17" t="s">
        <v>39</v>
      </c>
      <c r="AC8" s="17"/>
      <c r="AD8" s="17" t="s">
        <v>60</v>
      </c>
      <c r="AE8" s="17"/>
      <c r="AF8" s="22"/>
      <c r="AG8" s="29" t="s">
        <v>186</v>
      </c>
      <c r="AH8" s="29" t="s">
        <v>191</v>
      </c>
      <c r="AI8" s="29" t="s">
        <v>192</v>
      </c>
      <c r="AJ8" s="29"/>
      <c r="AK8" s="22"/>
      <c r="AL8" s="27"/>
      <c r="AM8" s="27"/>
      <c r="AN8" s="27"/>
      <c r="AO8" s="27"/>
      <c r="AP8" s="27"/>
      <c r="AQ8" s="27">
        <v>1</v>
      </c>
      <c r="AR8" s="40"/>
      <c r="AS8" s="40"/>
      <c r="AT8" s="40"/>
      <c r="AU8" s="234"/>
      <c r="AV8" s="234"/>
      <c r="AW8" s="234"/>
      <c r="AX8"/>
      <c r="AY8"/>
    </row>
    <row r="9" spans="1:51" s="3" customFormat="1" ht="15" customHeight="1" x14ac:dyDescent="0.25">
      <c r="A9" s="2"/>
      <c r="B9" s="27">
        <v>2003</v>
      </c>
      <c r="C9" s="27" t="s">
        <v>38</v>
      </c>
      <c r="D9" s="30" t="s">
        <v>35</v>
      </c>
      <c r="E9" s="27">
        <v>26</v>
      </c>
      <c r="F9" s="27">
        <v>1</v>
      </c>
      <c r="G9" s="27">
        <v>45</v>
      </c>
      <c r="H9" s="27">
        <v>7</v>
      </c>
      <c r="I9" s="27">
        <v>103</v>
      </c>
      <c r="J9" s="27">
        <v>8</v>
      </c>
      <c r="K9" s="27">
        <v>19</v>
      </c>
      <c r="L9" s="27">
        <v>30</v>
      </c>
      <c r="M9" s="27">
        <v>46</v>
      </c>
      <c r="N9" s="31">
        <v>0.54500000000000004</v>
      </c>
      <c r="O9" s="22">
        <f t="shared" si="0"/>
        <v>188.99082568807339</v>
      </c>
      <c r="P9" s="17" t="s">
        <v>41</v>
      </c>
      <c r="Q9" s="17"/>
      <c r="R9" s="17" t="s">
        <v>60</v>
      </c>
      <c r="S9" s="17"/>
      <c r="T9" s="39"/>
      <c r="U9" s="27">
        <v>7</v>
      </c>
      <c r="V9" s="27">
        <v>2</v>
      </c>
      <c r="W9" s="27">
        <v>12</v>
      </c>
      <c r="X9" s="27">
        <v>3</v>
      </c>
      <c r="Y9" s="27">
        <v>28</v>
      </c>
      <c r="Z9" s="31">
        <v>0.59599999999999997</v>
      </c>
      <c r="AA9" s="22"/>
      <c r="AB9" s="17" t="s">
        <v>60</v>
      </c>
      <c r="AC9" s="17"/>
      <c r="AD9" s="17"/>
      <c r="AE9" s="17"/>
      <c r="AF9" s="22"/>
      <c r="AG9" s="29" t="s">
        <v>193</v>
      </c>
      <c r="AH9" s="29"/>
      <c r="AI9" s="29"/>
      <c r="AJ9" s="29"/>
      <c r="AK9" s="22"/>
      <c r="AL9" s="27">
        <v>1</v>
      </c>
      <c r="AM9" s="27"/>
      <c r="AN9" s="27"/>
      <c r="AO9" s="27"/>
      <c r="AP9" s="27"/>
      <c r="AQ9" s="27"/>
      <c r="AR9" s="40"/>
      <c r="AS9" s="40"/>
      <c r="AT9" s="40"/>
      <c r="AU9" s="234"/>
      <c r="AV9" s="234"/>
      <c r="AW9" s="234"/>
      <c r="AX9"/>
      <c r="AY9"/>
    </row>
    <row r="10" spans="1:51" s="3" customFormat="1" ht="15" customHeight="1" x14ac:dyDescent="0.25">
      <c r="A10" s="2"/>
      <c r="B10" s="27">
        <v>2004</v>
      </c>
      <c r="C10" s="27" t="s">
        <v>36</v>
      </c>
      <c r="D10" s="30" t="s">
        <v>35</v>
      </c>
      <c r="E10" s="27">
        <v>25</v>
      </c>
      <c r="F10" s="27">
        <v>3</v>
      </c>
      <c r="G10" s="27">
        <v>38</v>
      </c>
      <c r="H10" s="27">
        <v>17</v>
      </c>
      <c r="I10" s="27">
        <v>119</v>
      </c>
      <c r="J10" s="27">
        <v>5</v>
      </c>
      <c r="K10" s="27">
        <v>23</v>
      </c>
      <c r="L10" s="27">
        <v>50</v>
      </c>
      <c r="M10" s="27">
        <v>41</v>
      </c>
      <c r="N10" s="31">
        <v>0.56100000000000005</v>
      </c>
      <c r="O10" s="22">
        <f t="shared" si="0"/>
        <v>212.1212121212121</v>
      </c>
      <c r="P10" s="17" t="s">
        <v>50</v>
      </c>
      <c r="Q10" s="17"/>
      <c r="R10" s="17" t="s">
        <v>60</v>
      </c>
      <c r="S10" s="17" t="s">
        <v>225</v>
      </c>
      <c r="T10" s="39"/>
      <c r="U10" s="27">
        <v>14</v>
      </c>
      <c r="V10" s="27">
        <v>2</v>
      </c>
      <c r="W10" s="27">
        <v>14</v>
      </c>
      <c r="X10" s="27">
        <v>7</v>
      </c>
      <c r="Y10" s="27">
        <v>67</v>
      </c>
      <c r="Z10" s="31">
        <v>0.60899999999999999</v>
      </c>
      <c r="AA10" s="22"/>
      <c r="AB10" s="17" t="s">
        <v>60</v>
      </c>
      <c r="AC10" s="17"/>
      <c r="AD10" s="17" t="s">
        <v>60</v>
      </c>
      <c r="AE10" s="17" t="s">
        <v>60</v>
      </c>
      <c r="AF10" s="22"/>
      <c r="AG10" s="29" t="s">
        <v>194</v>
      </c>
      <c r="AH10" s="29" t="s">
        <v>187</v>
      </c>
      <c r="AI10" s="29" t="s">
        <v>195</v>
      </c>
      <c r="AJ10" s="29"/>
      <c r="AK10" s="22"/>
      <c r="AL10" s="27">
        <v>1</v>
      </c>
      <c r="AM10" s="27"/>
      <c r="AN10" s="27"/>
      <c r="AO10" s="27"/>
      <c r="AP10" s="27"/>
      <c r="AQ10" s="27"/>
      <c r="AR10" s="40"/>
      <c r="AS10" s="40"/>
      <c r="AT10" s="40"/>
      <c r="AU10" s="234"/>
      <c r="AV10" s="234"/>
      <c r="AW10" s="234"/>
      <c r="AX10"/>
      <c r="AY10"/>
    </row>
    <row r="11" spans="1:51" s="3" customFormat="1" ht="15" customHeight="1" x14ac:dyDescent="0.25">
      <c r="A11" s="2"/>
      <c r="B11" s="27">
        <v>2005</v>
      </c>
      <c r="C11" s="27" t="s">
        <v>36</v>
      </c>
      <c r="D11" s="30" t="s">
        <v>35</v>
      </c>
      <c r="E11" s="27">
        <v>24</v>
      </c>
      <c r="F11" s="27">
        <v>0</v>
      </c>
      <c r="G11" s="27">
        <v>24</v>
      </c>
      <c r="H11" s="27">
        <v>14</v>
      </c>
      <c r="I11" s="27">
        <v>118</v>
      </c>
      <c r="J11" s="27">
        <v>8</v>
      </c>
      <c r="K11" s="27">
        <v>38</v>
      </c>
      <c r="L11" s="27">
        <v>48</v>
      </c>
      <c r="M11" s="27">
        <v>24</v>
      </c>
      <c r="N11" s="31">
        <v>0.61499999999999999</v>
      </c>
      <c r="O11" s="22">
        <f t="shared" si="0"/>
        <v>191.869918699187</v>
      </c>
      <c r="P11" s="17" t="s">
        <v>223</v>
      </c>
      <c r="Q11" s="17"/>
      <c r="R11" s="17" t="s">
        <v>224</v>
      </c>
      <c r="S11" s="17" t="s">
        <v>225</v>
      </c>
      <c r="T11" s="39"/>
      <c r="U11" s="27">
        <v>14</v>
      </c>
      <c r="V11" s="27">
        <v>1</v>
      </c>
      <c r="W11" s="27">
        <v>6</v>
      </c>
      <c r="X11" s="27">
        <v>11</v>
      </c>
      <c r="Y11" s="27">
        <v>88</v>
      </c>
      <c r="Z11" s="31">
        <v>0.72099999999999997</v>
      </c>
      <c r="AA11" s="22"/>
      <c r="AB11" s="17"/>
      <c r="AC11" s="17" t="s">
        <v>60</v>
      </c>
      <c r="AD11" s="17"/>
      <c r="AE11" s="27" t="s">
        <v>34</v>
      </c>
      <c r="AF11" s="22"/>
      <c r="AG11" s="29" t="s">
        <v>194</v>
      </c>
      <c r="AH11" s="29" t="s">
        <v>196</v>
      </c>
      <c r="AI11" s="29" t="s">
        <v>197</v>
      </c>
      <c r="AJ11" s="29"/>
      <c r="AK11" s="22"/>
      <c r="AL11" s="27"/>
      <c r="AM11" s="27"/>
      <c r="AN11" s="27"/>
      <c r="AO11" s="27"/>
      <c r="AP11" s="27"/>
      <c r="AQ11" s="27"/>
      <c r="AR11" s="40"/>
      <c r="AS11" s="40"/>
      <c r="AT11" s="40"/>
      <c r="AU11" s="234"/>
      <c r="AV11" s="234"/>
      <c r="AW11" s="234"/>
      <c r="AX11"/>
      <c r="AY11"/>
    </row>
    <row r="12" spans="1:51" s="3" customFormat="1" ht="15" customHeight="1" x14ac:dyDescent="0.25">
      <c r="A12" s="2"/>
      <c r="B12" s="27">
        <v>2006</v>
      </c>
      <c r="C12" s="27" t="s">
        <v>39</v>
      </c>
      <c r="D12" s="30" t="s">
        <v>35</v>
      </c>
      <c r="E12" s="27">
        <v>27</v>
      </c>
      <c r="F12" s="27">
        <v>2</v>
      </c>
      <c r="G12" s="27">
        <v>27</v>
      </c>
      <c r="H12" s="27">
        <v>18</v>
      </c>
      <c r="I12" s="27">
        <v>159</v>
      </c>
      <c r="J12" s="27">
        <v>12</v>
      </c>
      <c r="K12" s="27">
        <v>30</v>
      </c>
      <c r="L12" s="27">
        <v>88</v>
      </c>
      <c r="M12" s="27">
        <v>29</v>
      </c>
      <c r="N12" s="31">
        <v>0.64600000000000002</v>
      </c>
      <c r="O12" s="22">
        <f t="shared" si="0"/>
        <v>246.1300309597523</v>
      </c>
      <c r="P12" s="17" t="s">
        <v>226</v>
      </c>
      <c r="Q12" s="17"/>
      <c r="R12" s="17" t="s">
        <v>226</v>
      </c>
      <c r="S12" s="17" t="s">
        <v>39</v>
      </c>
      <c r="T12" s="39"/>
      <c r="U12" s="27">
        <v>7</v>
      </c>
      <c r="V12" s="27">
        <v>0</v>
      </c>
      <c r="W12" s="27">
        <v>9</v>
      </c>
      <c r="X12" s="27">
        <v>1</v>
      </c>
      <c r="Y12" s="27">
        <v>32</v>
      </c>
      <c r="Z12" s="31">
        <v>0.59299999999999997</v>
      </c>
      <c r="AA12" s="22"/>
      <c r="AB12" s="17"/>
      <c r="AC12" s="17"/>
      <c r="AD12" s="17"/>
      <c r="AE12" s="17"/>
      <c r="AF12" s="22"/>
      <c r="AG12" s="29" t="s">
        <v>198</v>
      </c>
      <c r="AH12" s="29"/>
      <c r="AI12" s="29"/>
      <c r="AJ12" s="29"/>
      <c r="AK12" s="22"/>
      <c r="AL12" s="27"/>
      <c r="AM12" s="27"/>
      <c r="AN12" s="27"/>
      <c r="AO12" s="27"/>
      <c r="AP12" s="27"/>
      <c r="AQ12" s="27"/>
      <c r="AR12" s="40"/>
      <c r="AS12" s="40"/>
      <c r="AT12" s="40"/>
      <c r="AU12" s="234"/>
      <c r="AV12" s="234"/>
      <c r="AW12" s="234"/>
      <c r="AX12"/>
      <c r="AY12"/>
    </row>
    <row r="13" spans="1:51" s="3" customFormat="1" ht="15" customHeight="1" x14ac:dyDescent="0.25">
      <c r="A13" s="2"/>
      <c r="B13" s="27">
        <v>2007</v>
      </c>
      <c r="C13" s="27" t="s">
        <v>40</v>
      </c>
      <c r="D13" s="30" t="s">
        <v>35</v>
      </c>
      <c r="E13" s="27">
        <v>25</v>
      </c>
      <c r="F13" s="27">
        <v>4</v>
      </c>
      <c r="G13" s="27">
        <v>26</v>
      </c>
      <c r="H13" s="27">
        <v>19</v>
      </c>
      <c r="I13" s="27">
        <v>165</v>
      </c>
      <c r="J13" s="27">
        <v>10</v>
      </c>
      <c r="K13" s="27">
        <v>54</v>
      </c>
      <c r="L13" s="27">
        <v>71</v>
      </c>
      <c r="M13" s="27">
        <v>30</v>
      </c>
      <c r="N13" s="31">
        <v>0.70799999999999996</v>
      </c>
      <c r="O13" s="22">
        <f t="shared" si="0"/>
        <v>233.05084745762713</v>
      </c>
      <c r="P13" s="17" t="s">
        <v>342</v>
      </c>
      <c r="Q13" s="17"/>
      <c r="R13" s="17" t="s">
        <v>218</v>
      </c>
      <c r="S13" s="17" t="s">
        <v>38</v>
      </c>
      <c r="T13" s="39"/>
      <c r="U13" s="27">
        <v>16</v>
      </c>
      <c r="V13" s="27">
        <v>3</v>
      </c>
      <c r="W13" s="27">
        <v>14</v>
      </c>
      <c r="X13" s="27">
        <v>12</v>
      </c>
      <c r="Y13" s="27">
        <v>103</v>
      </c>
      <c r="Z13" s="31">
        <v>0.66900000000000004</v>
      </c>
      <c r="AA13" s="22"/>
      <c r="AB13" s="17" t="s">
        <v>41</v>
      </c>
      <c r="AC13" s="17"/>
      <c r="AD13" s="17" t="s">
        <v>57</v>
      </c>
      <c r="AE13" s="27" t="s">
        <v>40</v>
      </c>
      <c r="AF13" s="22"/>
      <c r="AG13" s="29" t="s">
        <v>194</v>
      </c>
      <c r="AH13" s="29" t="s">
        <v>199</v>
      </c>
      <c r="AI13" s="29"/>
      <c r="AJ13" s="29" t="s">
        <v>200</v>
      </c>
      <c r="AK13" s="22"/>
      <c r="AL13" s="27">
        <v>1</v>
      </c>
      <c r="AM13" s="27"/>
      <c r="AN13" s="27"/>
      <c r="AO13" s="27">
        <v>1</v>
      </c>
      <c r="AP13" s="27"/>
      <c r="AQ13" s="27"/>
      <c r="AR13" s="40"/>
      <c r="AS13" s="40"/>
      <c r="AT13" s="40"/>
      <c r="AU13" s="234"/>
      <c r="AV13" s="234"/>
      <c r="AW13" s="234"/>
      <c r="AX13"/>
      <c r="AY13"/>
    </row>
    <row r="14" spans="1:51" s="3" customFormat="1" ht="15" customHeight="1" x14ac:dyDescent="0.25">
      <c r="A14" s="2"/>
      <c r="B14" s="27">
        <v>2008</v>
      </c>
      <c r="C14" s="27" t="s">
        <v>39</v>
      </c>
      <c r="D14" s="30" t="s">
        <v>35</v>
      </c>
      <c r="E14" s="27">
        <v>24</v>
      </c>
      <c r="F14" s="27">
        <v>1</v>
      </c>
      <c r="G14" s="27">
        <v>13</v>
      </c>
      <c r="H14" s="27">
        <v>9</v>
      </c>
      <c r="I14" s="27">
        <v>124</v>
      </c>
      <c r="J14" s="27">
        <v>18</v>
      </c>
      <c r="K14" s="27">
        <v>42</v>
      </c>
      <c r="L14" s="27">
        <v>50</v>
      </c>
      <c r="M14" s="27">
        <v>14</v>
      </c>
      <c r="N14" s="31">
        <v>0.58799999999999997</v>
      </c>
      <c r="O14" s="22">
        <f t="shared" si="0"/>
        <v>210.8843537414966</v>
      </c>
      <c r="P14" s="17"/>
      <c r="Q14" s="17"/>
      <c r="R14" s="17"/>
      <c r="S14" s="17" t="s">
        <v>60</v>
      </c>
      <c r="T14" s="39"/>
      <c r="U14" s="27">
        <v>3</v>
      </c>
      <c r="V14" s="27">
        <v>0</v>
      </c>
      <c r="W14" s="27">
        <v>1</v>
      </c>
      <c r="X14" s="27">
        <v>2</v>
      </c>
      <c r="Y14" s="27">
        <v>14</v>
      </c>
      <c r="Z14" s="31">
        <v>0.58299999999999996</v>
      </c>
      <c r="AA14" s="22"/>
      <c r="AB14" s="17"/>
      <c r="AC14" s="17"/>
      <c r="AD14" s="17"/>
      <c r="AE14" s="17"/>
      <c r="AF14" s="22"/>
      <c r="AG14" s="29" t="s">
        <v>198</v>
      </c>
      <c r="AH14" s="29"/>
      <c r="AI14" s="29"/>
      <c r="AJ14" s="29"/>
      <c r="AK14" s="22"/>
      <c r="AL14" s="27"/>
      <c r="AM14" s="27"/>
      <c r="AN14" s="27"/>
      <c r="AO14" s="27"/>
      <c r="AP14" s="27"/>
      <c r="AQ14" s="27"/>
      <c r="AR14" s="40"/>
      <c r="AS14" s="40"/>
      <c r="AT14" s="40"/>
      <c r="AU14" s="234"/>
      <c r="AV14" s="234"/>
      <c r="AW14" s="234"/>
      <c r="AX14"/>
      <c r="AY14"/>
    </row>
    <row r="15" spans="1:51" s="3" customFormat="1" ht="15" customHeight="1" x14ac:dyDescent="0.25">
      <c r="A15" s="2"/>
      <c r="B15" s="27">
        <v>2009</v>
      </c>
      <c r="C15" s="27" t="s">
        <v>41</v>
      </c>
      <c r="D15" s="30" t="s">
        <v>35</v>
      </c>
      <c r="E15" s="27">
        <v>24</v>
      </c>
      <c r="F15" s="27">
        <v>3</v>
      </c>
      <c r="G15" s="27">
        <v>15</v>
      </c>
      <c r="H15" s="27">
        <v>19</v>
      </c>
      <c r="I15" s="27">
        <v>156</v>
      </c>
      <c r="J15" s="27">
        <v>8</v>
      </c>
      <c r="K15" s="27">
        <v>53</v>
      </c>
      <c r="L15" s="27">
        <v>77</v>
      </c>
      <c r="M15" s="27">
        <v>18</v>
      </c>
      <c r="N15" s="31">
        <v>0.65</v>
      </c>
      <c r="O15" s="22">
        <f t="shared" si="0"/>
        <v>240</v>
      </c>
      <c r="P15" s="17" t="s">
        <v>225</v>
      </c>
      <c r="Q15" s="17" t="s">
        <v>224</v>
      </c>
      <c r="R15" s="17" t="s">
        <v>223</v>
      </c>
      <c r="S15" s="27" t="s">
        <v>40</v>
      </c>
      <c r="T15" s="39"/>
      <c r="U15" s="27">
        <v>5</v>
      </c>
      <c r="V15" s="27">
        <v>1</v>
      </c>
      <c r="W15" s="27">
        <v>3</v>
      </c>
      <c r="X15" s="27">
        <v>4</v>
      </c>
      <c r="Y15" s="27">
        <v>30</v>
      </c>
      <c r="Z15" s="31">
        <v>0.6</v>
      </c>
      <c r="AA15" s="22"/>
      <c r="AB15" s="17"/>
      <c r="AC15" s="17"/>
      <c r="AD15" s="17"/>
      <c r="AE15" s="17"/>
      <c r="AF15" s="22"/>
      <c r="AG15" s="29" t="s">
        <v>201</v>
      </c>
      <c r="AH15" s="29"/>
      <c r="AI15" s="29"/>
      <c r="AJ15" s="29"/>
      <c r="AK15" s="22"/>
      <c r="AL15" s="27">
        <v>1</v>
      </c>
      <c r="AM15" s="27"/>
      <c r="AN15" s="27"/>
      <c r="AO15" s="27"/>
      <c r="AP15" s="27"/>
      <c r="AQ15" s="27"/>
      <c r="AR15" s="40"/>
      <c r="AS15" s="40"/>
      <c r="AT15" s="40"/>
      <c r="AU15" s="234"/>
      <c r="AV15" s="234"/>
      <c r="AW15" s="234"/>
      <c r="AX15"/>
      <c r="AY15"/>
    </row>
    <row r="16" spans="1:51" s="3" customFormat="1" ht="15" customHeight="1" x14ac:dyDescent="0.25">
      <c r="A16" s="2"/>
      <c r="B16" s="27">
        <v>2010</v>
      </c>
      <c r="C16" s="27" t="s">
        <v>38</v>
      </c>
      <c r="D16" s="30" t="s">
        <v>35</v>
      </c>
      <c r="E16" s="27">
        <v>26</v>
      </c>
      <c r="F16" s="27">
        <v>1</v>
      </c>
      <c r="G16" s="27">
        <v>13</v>
      </c>
      <c r="H16" s="27">
        <v>19</v>
      </c>
      <c r="I16" s="27">
        <v>159</v>
      </c>
      <c r="J16" s="27">
        <v>11</v>
      </c>
      <c r="K16" s="27">
        <v>59</v>
      </c>
      <c r="L16" s="27">
        <v>75</v>
      </c>
      <c r="M16" s="27">
        <v>14</v>
      </c>
      <c r="N16" s="31">
        <v>0.66</v>
      </c>
      <c r="O16" s="22">
        <f t="shared" si="0"/>
        <v>240.90909090909091</v>
      </c>
      <c r="P16" s="17"/>
      <c r="Q16" s="14"/>
      <c r="R16" s="17"/>
      <c r="S16" s="17" t="s">
        <v>36</v>
      </c>
      <c r="T16" s="39"/>
      <c r="U16" s="27">
        <v>3</v>
      </c>
      <c r="V16" s="27">
        <v>0</v>
      </c>
      <c r="W16" s="32">
        <v>1</v>
      </c>
      <c r="X16" s="27">
        <v>1</v>
      </c>
      <c r="Y16" s="27">
        <v>13</v>
      </c>
      <c r="Z16" s="31">
        <v>0.61899999999999999</v>
      </c>
      <c r="AA16" s="22"/>
      <c r="AB16" s="17"/>
      <c r="AC16" s="17"/>
      <c r="AD16" s="17"/>
      <c r="AE16" s="17"/>
      <c r="AF16" s="22"/>
      <c r="AG16" s="29" t="s">
        <v>202</v>
      </c>
      <c r="AH16" s="29"/>
      <c r="AI16" s="29"/>
      <c r="AJ16" s="29"/>
      <c r="AK16" s="22"/>
      <c r="AL16" s="27">
        <v>1</v>
      </c>
      <c r="AM16" s="27"/>
      <c r="AN16" s="27"/>
      <c r="AO16" s="27"/>
      <c r="AP16" s="27"/>
      <c r="AQ16" s="27"/>
      <c r="AR16" s="40"/>
      <c r="AS16" s="40"/>
      <c r="AT16" s="40"/>
      <c r="AU16" s="234"/>
      <c r="AV16" s="234"/>
      <c r="AW16" s="234"/>
      <c r="AX16" s="69"/>
      <c r="AY16" s="69"/>
    </row>
    <row r="17" spans="1:51" s="3" customFormat="1" ht="15" customHeight="1" x14ac:dyDescent="0.25">
      <c r="A17" s="2"/>
      <c r="B17" s="27">
        <v>2011</v>
      </c>
      <c r="C17" s="27" t="s">
        <v>39</v>
      </c>
      <c r="D17" s="30" t="s">
        <v>35</v>
      </c>
      <c r="E17" s="27">
        <v>26</v>
      </c>
      <c r="F17" s="27">
        <v>7</v>
      </c>
      <c r="G17" s="27">
        <v>48</v>
      </c>
      <c r="H17" s="27">
        <v>22</v>
      </c>
      <c r="I17" s="27">
        <v>152</v>
      </c>
      <c r="J17" s="27">
        <v>14</v>
      </c>
      <c r="K17" s="27">
        <v>28</v>
      </c>
      <c r="L17" s="27">
        <v>55</v>
      </c>
      <c r="M17" s="27">
        <v>55</v>
      </c>
      <c r="N17" s="31">
        <v>0.61799999999999999</v>
      </c>
      <c r="O17" s="22">
        <f>PRODUCT(I17/N17)</f>
        <v>245.95469255663431</v>
      </c>
      <c r="P17" s="17" t="s">
        <v>39</v>
      </c>
      <c r="Q17" s="14"/>
      <c r="R17" s="17" t="s">
        <v>41</v>
      </c>
      <c r="S17" s="17" t="s">
        <v>39</v>
      </c>
      <c r="T17" s="39"/>
      <c r="U17" s="27">
        <v>4</v>
      </c>
      <c r="V17" s="27">
        <v>1</v>
      </c>
      <c r="W17" s="32">
        <v>2</v>
      </c>
      <c r="X17" s="27">
        <v>3</v>
      </c>
      <c r="Y17" s="27">
        <v>15</v>
      </c>
      <c r="Z17" s="31">
        <v>0.53600000000000003</v>
      </c>
      <c r="AA17" s="22"/>
      <c r="AB17" s="17"/>
      <c r="AC17" s="17"/>
      <c r="AD17" s="17"/>
      <c r="AE17" s="17"/>
      <c r="AF17" s="22"/>
      <c r="AG17" s="29" t="s">
        <v>203</v>
      </c>
      <c r="AH17" s="29"/>
      <c r="AI17" s="29"/>
      <c r="AJ17" s="29"/>
      <c r="AK17" s="22"/>
      <c r="AL17" s="27">
        <v>1</v>
      </c>
      <c r="AM17" s="27">
        <v>1</v>
      </c>
      <c r="AN17" s="27"/>
      <c r="AO17" s="27"/>
      <c r="AP17" s="27"/>
      <c r="AQ17" s="27"/>
      <c r="AR17" s="40"/>
      <c r="AS17" s="40"/>
      <c r="AT17" s="40"/>
      <c r="AU17" s="234"/>
      <c r="AV17" s="234"/>
      <c r="AW17" s="234"/>
      <c r="AX17" s="69"/>
      <c r="AY17" s="69"/>
    </row>
    <row r="18" spans="1:51" s="3" customFormat="1" ht="15" customHeight="1" x14ac:dyDescent="0.25">
      <c r="A18" s="2"/>
      <c r="B18" s="27">
        <v>2012</v>
      </c>
      <c r="C18" s="27" t="s">
        <v>57</v>
      </c>
      <c r="D18" s="30" t="s">
        <v>35</v>
      </c>
      <c r="E18" s="27">
        <v>26</v>
      </c>
      <c r="F18" s="27">
        <v>11</v>
      </c>
      <c r="G18" s="27">
        <v>60</v>
      </c>
      <c r="H18" s="27">
        <v>27</v>
      </c>
      <c r="I18" s="27">
        <v>214</v>
      </c>
      <c r="J18" s="27">
        <v>17</v>
      </c>
      <c r="K18" s="27">
        <v>38</v>
      </c>
      <c r="L18" s="27">
        <v>88</v>
      </c>
      <c r="M18" s="27">
        <v>71</v>
      </c>
      <c r="N18" s="31">
        <v>0.77500000000000002</v>
      </c>
      <c r="O18" s="22">
        <f>PRODUCT(I18/N18)</f>
        <v>276.12903225806451</v>
      </c>
      <c r="P18" s="27" t="s">
        <v>34</v>
      </c>
      <c r="Q18" s="14" t="s">
        <v>229</v>
      </c>
      <c r="R18" s="27" t="s">
        <v>40</v>
      </c>
      <c r="S18" s="27" t="s">
        <v>40</v>
      </c>
      <c r="T18" s="39"/>
      <c r="U18" s="27">
        <v>6</v>
      </c>
      <c r="V18" s="27">
        <v>0</v>
      </c>
      <c r="W18" s="32">
        <v>10</v>
      </c>
      <c r="X18" s="27">
        <v>1</v>
      </c>
      <c r="Y18" s="27">
        <v>45</v>
      </c>
      <c r="Z18" s="31">
        <v>0.68200000000000005</v>
      </c>
      <c r="AA18" s="22"/>
      <c r="AB18" s="17"/>
      <c r="AC18" s="17"/>
      <c r="AD18" s="17"/>
      <c r="AE18" s="17"/>
      <c r="AF18" s="22"/>
      <c r="AG18" s="29" t="s">
        <v>204</v>
      </c>
      <c r="AH18" s="29"/>
      <c r="AI18" s="29"/>
      <c r="AJ18" s="29"/>
      <c r="AK18" s="22"/>
      <c r="AL18" s="27">
        <v>1</v>
      </c>
      <c r="AM18" s="27"/>
      <c r="AN18" s="27"/>
      <c r="AO18" s="27"/>
      <c r="AP18" s="27"/>
      <c r="AQ18" s="27"/>
      <c r="AR18" s="40"/>
      <c r="AS18" s="40"/>
      <c r="AT18" s="40"/>
      <c r="AU18" s="234"/>
      <c r="AV18" s="234"/>
      <c r="AW18" s="234"/>
      <c r="AX18"/>
      <c r="AY18"/>
    </row>
    <row r="19" spans="1:51" s="3" customFormat="1" ht="15" customHeight="1" x14ac:dyDescent="0.25">
      <c r="A19" s="2"/>
      <c r="B19" s="27">
        <v>2013</v>
      </c>
      <c r="C19" s="27" t="s">
        <v>38</v>
      </c>
      <c r="D19" s="30" t="s">
        <v>35</v>
      </c>
      <c r="E19" s="27">
        <v>26</v>
      </c>
      <c r="F19" s="27">
        <v>4</v>
      </c>
      <c r="G19" s="27">
        <v>42</v>
      </c>
      <c r="H19" s="27">
        <v>35</v>
      </c>
      <c r="I19" s="27">
        <v>189</v>
      </c>
      <c r="J19" s="27">
        <v>14</v>
      </c>
      <c r="K19" s="27">
        <v>35</v>
      </c>
      <c r="L19" s="27">
        <v>94</v>
      </c>
      <c r="M19" s="27">
        <v>46</v>
      </c>
      <c r="N19" s="31">
        <v>0.71319999999999995</v>
      </c>
      <c r="O19" s="22">
        <f>PRODUCT(I19/N19)</f>
        <v>265.002804262479</v>
      </c>
      <c r="P19" s="17" t="s">
        <v>228</v>
      </c>
      <c r="Q19" s="14" t="s">
        <v>230</v>
      </c>
      <c r="R19" s="17" t="s">
        <v>57</v>
      </c>
      <c r="S19" s="27" t="s">
        <v>34</v>
      </c>
      <c r="T19" s="39"/>
      <c r="U19" s="27">
        <v>5</v>
      </c>
      <c r="V19" s="27">
        <v>0</v>
      </c>
      <c r="W19" s="32">
        <v>10</v>
      </c>
      <c r="X19" s="27">
        <v>2</v>
      </c>
      <c r="Y19" s="27">
        <v>35</v>
      </c>
      <c r="Z19" s="31">
        <v>0.63600000000000001</v>
      </c>
      <c r="AA19" s="22"/>
      <c r="AB19" s="17"/>
      <c r="AC19" s="17"/>
      <c r="AD19" s="17"/>
      <c r="AE19" s="17"/>
      <c r="AF19" s="22"/>
      <c r="AG19" s="29" t="s">
        <v>205</v>
      </c>
      <c r="AH19" s="29"/>
      <c r="AI19" s="29"/>
      <c r="AJ19" s="29"/>
      <c r="AK19" s="22"/>
      <c r="AL19" s="27">
        <v>1</v>
      </c>
      <c r="AM19" s="27"/>
      <c r="AN19" s="27"/>
      <c r="AO19" s="27"/>
      <c r="AP19" s="27"/>
      <c r="AQ19" s="27"/>
      <c r="AR19" s="40"/>
      <c r="AS19" s="40"/>
      <c r="AT19" s="40"/>
      <c r="AU19" s="234"/>
      <c r="AV19" s="234"/>
      <c r="AW19" s="234"/>
      <c r="AX19"/>
      <c r="AY19"/>
    </row>
    <row r="20" spans="1:51" s="3" customFormat="1" ht="15" customHeight="1" x14ac:dyDescent="0.25">
      <c r="A20" s="2"/>
      <c r="B20" s="27">
        <v>2014</v>
      </c>
      <c r="C20" s="27" t="s">
        <v>36</v>
      </c>
      <c r="D20" s="30" t="s">
        <v>35</v>
      </c>
      <c r="E20" s="27">
        <v>30</v>
      </c>
      <c r="F20" s="27">
        <v>9</v>
      </c>
      <c r="G20" s="27">
        <v>82</v>
      </c>
      <c r="H20" s="27">
        <v>23</v>
      </c>
      <c r="I20" s="27">
        <v>210</v>
      </c>
      <c r="J20" s="27">
        <v>7</v>
      </c>
      <c r="K20" s="27">
        <v>29</v>
      </c>
      <c r="L20" s="27">
        <v>83</v>
      </c>
      <c r="M20" s="27">
        <v>91</v>
      </c>
      <c r="N20" s="31">
        <v>0.68400000000000005</v>
      </c>
      <c r="O20" s="118">
        <f>PRODUCT(I20/N20)</f>
        <v>307.01754385964909</v>
      </c>
      <c r="P20" s="17" t="s">
        <v>38</v>
      </c>
      <c r="Q20" s="14"/>
      <c r="R20" s="27" t="s">
        <v>37</v>
      </c>
      <c r="S20" s="27" t="s">
        <v>40</v>
      </c>
      <c r="T20" s="39"/>
      <c r="U20" s="27">
        <v>10</v>
      </c>
      <c r="V20" s="27">
        <v>0</v>
      </c>
      <c r="W20" s="32">
        <v>16</v>
      </c>
      <c r="X20" s="27">
        <v>3</v>
      </c>
      <c r="Y20" s="27">
        <v>60</v>
      </c>
      <c r="Z20" s="31">
        <v>0.58299999999999996</v>
      </c>
      <c r="AA20" s="22"/>
      <c r="AB20" s="17" t="s">
        <v>36</v>
      </c>
      <c r="AC20" s="17"/>
      <c r="AD20" s="17" t="s">
        <v>57</v>
      </c>
      <c r="AE20" s="27" t="s">
        <v>34</v>
      </c>
      <c r="AF20" s="22"/>
      <c r="AG20" s="29" t="s">
        <v>206</v>
      </c>
      <c r="AH20" s="29" t="s">
        <v>207</v>
      </c>
      <c r="AI20" s="29" t="s">
        <v>208</v>
      </c>
      <c r="AJ20" s="29"/>
      <c r="AK20" s="22"/>
      <c r="AL20" s="27">
        <v>1</v>
      </c>
      <c r="AM20" s="27"/>
      <c r="AN20" s="27"/>
      <c r="AO20" s="27"/>
      <c r="AP20" s="27"/>
      <c r="AQ20" s="27"/>
      <c r="AR20" s="40"/>
      <c r="AS20" s="40"/>
      <c r="AT20" s="40"/>
      <c r="AU20" s="234"/>
      <c r="AV20" s="234"/>
      <c r="AW20" s="234"/>
      <c r="AX20"/>
      <c r="AY20"/>
    </row>
    <row r="21" spans="1:51" s="3" customFormat="1" ht="15" customHeight="1" x14ac:dyDescent="0.25">
      <c r="A21" s="2"/>
      <c r="B21" s="27">
        <v>2015</v>
      </c>
      <c r="C21" s="27" t="s">
        <v>39</v>
      </c>
      <c r="D21" s="30" t="s">
        <v>35</v>
      </c>
      <c r="E21" s="27">
        <v>28</v>
      </c>
      <c r="F21" s="27">
        <v>2</v>
      </c>
      <c r="G21" s="27">
        <v>40</v>
      </c>
      <c r="H21" s="27">
        <v>10</v>
      </c>
      <c r="I21" s="27">
        <v>148</v>
      </c>
      <c r="J21" s="27">
        <v>10</v>
      </c>
      <c r="K21" s="27">
        <v>32</v>
      </c>
      <c r="L21" s="27">
        <v>64</v>
      </c>
      <c r="M21" s="27">
        <v>42</v>
      </c>
      <c r="N21" s="46">
        <v>0.56699999999999995</v>
      </c>
      <c r="O21" s="134">
        <v>261</v>
      </c>
      <c r="P21" s="17" t="s">
        <v>230</v>
      </c>
      <c r="Q21" s="14"/>
      <c r="R21" s="17" t="s">
        <v>224</v>
      </c>
      <c r="S21" s="17" t="s">
        <v>223</v>
      </c>
      <c r="T21" s="39"/>
      <c r="U21" s="27">
        <v>3</v>
      </c>
      <c r="V21" s="27">
        <v>1</v>
      </c>
      <c r="W21" s="32">
        <v>4</v>
      </c>
      <c r="X21" s="27">
        <v>1</v>
      </c>
      <c r="Y21" s="27">
        <v>15</v>
      </c>
      <c r="Z21" s="31">
        <v>0.68200000000000005</v>
      </c>
      <c r="AA21" s="22"/>
      <c r="AB21" s="17"/>
      <c r="AC21" s="17"/>
      <c r="AD21" s="17"/>
      <c r="AE21" s="17"/>
      <c r="AF21" s="22"/>
      <c r="AG21" s="29" t="s">
        <v>209</v>
      </c>
      <c r="AH21" s="29"/>
      <c r="AI21" s="29"/>
      <c r="AJ21" s="29"/>
      <c r="AK21" s="22"/>
      <c r="AL21" s="27">
        <v>1</v>
      </c>
      <c r="AM21" s="27"/>
      <c r="AN21" s="27"/>
      <c r="AO21" s="27"/>
      <c r="AP21" s="27"/>
      <c r="AQ21" s="27"/>
      <c r="AR21" s="40"/>
      <c r="AS21" s="40"/>
      <c r="AT21" s="40"/>
      <c r="AU21" s="234"/>
      <c r="AV21" s="234"/>
      <c r="AW21" s="234"/>
      <c r="AX21"/>
      <c r="AY21"/>
    </row>
    <row r="22" spans="1:51" s="3" customFormat="1" ht="15" customHeight="1" x14ac:dyDescent="0.25">
      <c r="A22" s="2"/>
      <c r="B22" s="27">
        <v>2016</v>
      </c>
      <c r="C22" s="27" t="s">
        <v>39</v>
      </c>
      <c r="D22" s="30" t="s">
        <v>35</v>
      </c>
      <c r="E22" s="27">
        <v>27</v>
      </c>
      <c r="F22" s="27">
        <v>9</v>
      </c>
      <c r="G22" s="27">
        <v>71</v>
      </c>
      <c r="H22" s="27">
        <v>20</v>
      </c>
      <c r="I22" s="27">
        <v>164</v>
      </c>
      <c r="J22" s="27">
        <v>3</v>
      </c>
      <c r="K22" s="27">
        <v>18</v>
      </c>
      <c r="L22" s="27">
        <v>63</v>
      </c>
      <c r="M22" s="27">
        <v>80</v>
      </c>
      <c r="N22" s="31">
        <v>0.61699999999999999</v>
      </c>
      <c r="O22" s="134">
        <v>266</v>
      </c>
      <c r="P22" s="17" t="s">
        <v>57</v>
      </c>
      <c r="Q22" s="14"/>
      <c r="R22" s="17" t="s">
        <v>57</v>
      </c>
      <c r="S22" s="17" t="s">
        <v>228</v>
      </c>
      <c r="T22" s="39"/>
      <c r="U22" s="27">
        <v>5</v>
      </c>
      <c r="V22" s="27">
        <v>1</v>
      </c>
      <c r="W22" s="32">
        <v>9</v>
      </c>
      <c r="X22" s="27">
        <v>1</v>
      </c>
      <c r="Y22" s="27">
        <v>27</v>
      </c>
      <c r="Z22" s="31">
        <v>0.56299999999999994</v>
      </c>
      <c r="AA22" s="22"/>
      <c r="AB22" s="17"/>
      <c r="AC22" s="17"/>
      <c r="AD22" s="17"/>
      <c r="AE22" s="17"/>
      <c r="AF22" s="22"/>
      <c r="AG22" s="29" t="s">
        <v>209</v>
      </c>
      <c r="AH22" s="29" t="s">
        <v>214</v>
      </c>
      <c r="AI22" s="29"/>
      <c r="AJ22" s="29"/>
      <c r="AK22" s="22"/>
      <c r="AL22" s="27"/>
      <c r="AM22" s="27"/>
      <c r="AN22" s="27"/>
      <c r="AO22" s="27"/>
      <c r="AP22" s="27"/>
      <c r="AQ22" s="27"/>
      <c r="AR22" s="40"/>
      <c r="AS22" s="40"/>
      <c r="AT22" s="40"/>
      <c r="AU22" s="234"/>
      <c r="AV22" s="234"/>
      <c r="AW22" s="234"/>
      <c r="AX22"/>
      <c r="AY22"/>
    </row>
    <row r="23" spans="1:51" s="3" customFormat="1" ht="15" customHeight="1" x14ac:dyDescent="0.25">
      <c r="A23" s="2"/>
      <c r="B23" s="27">
        <v>2017</v>
      </c>
      <c r="C23" s="27" t="s">
        <v>36</v>
      </c>
      <c r="D23" s="30" t="s">
        <v>212</v>
      </c>
      <c r="E23" s="27">
        <v>32</v>
      </c>
      <c r="F23" s="27">
        <v>2</v>
      </c>
      <c r="G23" s="27">
        <v>75</v>
      </c>
      <c r="H23" s="27">
        <v>4</v>
      </c>
      <c r="I23" s="27">
        <v>118</v>
      </c>
      <c r="J23" s="27">
        <v>0</v>
      </c>
      <c r="K23" s="27">
        <v>9</v>
      </c>
      <c r="L23" s="27">
        <v>32</v>
      </c>
      <c r="M23" s="27">
        <v>77</v>
      </c>
      <c r="N23" s="46">
        <v>0.42799999999999999</v>
      </c>
      <c r="O23" s="134">
        <v>276</v>
      </c>
      <c r="P23" s="17" t="s">
        <v>41</v>
      </c>
      <c r="Q23" s="14"/>
      <c r="R23" s="17" t="s">
        <v>182</v>
      </c>
      <c r="S23" s="17"/>
      <c r="T23" s="39"/>
      <c r="U23" s="27">
        <v>10</v>
      </c>
      <c r="V23" s="27">
        <v>1</v>
      </c>
      <c r="W23" s="32">
        <v>31</v>
      </c>
      <c r="X23" s="27">
        <v>4</v>
      </c>
      <c r="Y23" s="27">
        <v>45</v>
      </c>
      <c r="Z23" s="31">
        <v>0.46400000000000002</v>
      </c>
      <c r="AA23" s="22"/>
      <c r="AB23" s="27" t="s">
        <v>34</v>
      </c>
      <c r="AC23" s="17"/>
      <c r="AD23" s="27" t="s">
        <v>34</v>
      </c>
      <c r="AE23" s="17"/>
      <c r="AF23" s="22"/>
      <c r="AG23" s="29" t="s">
        <v>215</v>
      </c>
      <c r="AH23" s="29" t="s">
        <v>216</v>
      </c>
      <c r="AI23" s="29" t="s">
        <v>208</v>
      </c>
      <c r="AJ23" s="29"/>
      <c r="AK23" s="22"/>
      <c r="AL23" s="27"/>
      <c r="AM23" s="27"/>
      <c r="AN23" s="27"/>
      <c r="AO23" s="27"/>
      <c r="AP23" s="27"/>
      <c r="AQ23" s="27"/>
      <c r="AR23" s="40"/>
      <c r="AS23" s="40"/>
      <c r="AT23" s="40"/>
      <c r="AU23" s="234"/>
      <c r="AV23" s="234"/>
      <c r="AW23" s="234"/>
      <c r="AX23"/>
      <c r="AY23"/>
    </row>
    <row r="24" spans="1:51" s="3" customFormat="1" ht="15" customHeight="1" x14ac:dyDescent="0.25">
      <c r="A24" s="2"/>
      <c r="B24" s="27">
        <v>2018</v>
      </c>
      <c r="C24" s="27" t="s">
        <v>34</v>
      </c>
      <c r="D24" s="30" t="s">
        <v>212</v>
      </c>
      <c r="E24" s="27">
        <v>32</v>
      </c>
      <c r="F24" s="27">
        <v>4</v>
      </c>
      <c r="G24" s="27">
        <v>127</v>
      </c>
      <c r="H24" s="27">
        <v>23</v>
      </c>
      <c r="I24" s="27">
        <v>195</v>
      </c>
      <c r="J24" s="27">
        <v>1</v>
      </c>
      <c r="K24" s="27">
        <v>7</v>
      </c>
      <c r="L24" s="27">
        <v>56</v>
      </c>
      <c r="M24" s="27">
        <v>131</v>
      </c>
      <c r="N24" s="31">
        <v>0.60740000000000005</v>
      </c>
      <c r="O24" s="134">
        <v>321.04050049390844</v>
      </c>
      <c r="P24" s="27" t="s">
        <v>34</v>
      </c>
      <c r="Q24" s="14"/>
      <c r="R24" s="27" t="s">
        <v>37</v>
      </c>
      <c r="S24" s="17" t="s">
        <v>41</v>
      </c>
      <c r="T24" s="39"/>
      <c r="U24" s="27">
        <v>12</v>
      </c>
      <c r="V24" s="27">
        <v>1</v>
      </c>
      <c r="W24" s="32">
        <v>37</v>
      </c>
      <c r="X24" s="27">
        <v>3</v>
      </c>
      <c r="Y24" s="27">
        <v>59</v>
      </c>
      <c r="Z24" s="31">
        <v>0.4758</v>
      </c>
      <c r="AA24" s="22"/>
      <c r="AB24" s="27" t="s">
        <v>40</v>
      </c>
      <c r="AC24" s="17"/>
      <c r="AD24" s="27" t="s">
        <v>40</v>
      </c>
      <c r="AE24" s="27" t="s">
        <v>34</v>
      </c>
      <c r="AF24" s="22"/>
      <c r="AG24" s="29" t="s">
        <v>237</v>
      </c>
      <c r="AH24" s="29" t="s">
        <v>238</v>
      </c>
      <c r="AI24" s="29"/>
      <c r="AJ24" s="29" t="s">
        <v>209</v>
      </c>
      <c r="AK24" s="22"/>
      <c r="AL24" s="27">
        <v>1</v>
      </c>
      <c r="AM24" s="27"/>
      <c r="AN24" s="27"/>
      <c r="AO24" s="27"/>
      <c r="AP24" s="27">
        <v>1</v>
      </c>
      <c r="AQ24" s="27"/>
      <c r="AR24" s="40"/>
      <c r="AS24" s="40"/>
      <c r="AT24" s="40"/>
      <c r="AU24" s="234"/>
      <c r="AV24" s="234"/>
      <c r="AW24" s="234"/>
      <c r="AX24"/>
      <c r="AY24"/>
    </row>
    <row r="25" spans="1:51" s="3" customFormat="1" ht="15" customHeight="1" x14ac:dyDescent="0.25">
      <c r="A25" s="2"/>
      <c r="B25" s="27">
        <v>2019</v>
      </c>
      <c r="C25" s="27" t="s">
        <v>38</v>
      </c>
      <c r="D25" s="30" t="s">
        <v>35</v>
      </c>
      <c r="E25" s="27">
        <v>30</v>
      </c>
      <c r="F25" s="27">
        <v>7</v>
      </c>
      <c r="G25" s="27">
        <v>104</v>
      </c>
      <c r="H25" s="27">
        <v>17</v>
      </c>
      <c r="I25" s="27">
        <v>168</v>
      </c>
      <c r="J25" s="27">
        <v>1</v>
      </c>
      <c r="K25" s="27">
        <v>9</v>
      </c>
      <c r="L25" s="27">
        <v>47</v>
      </c>
      <c r="M25" s="27">
        <v>111</v>
      </c>
      <c r="N25" s="190">
        <v>0.53839999999999999</v>
      </c>
      <c r="O25" s="134">
        <v>312</v>
      </c>
      <c r="P25" s="27" t="s">
        <v>34</v>
      </c>
      <c r="Q25" s="14"/>
      <c r="R25" s="27" t="s">
        <v>34</v>
      </c>
      <c r="S25" s="17" t="s">
        <v>50</v>
      </c>
      <c r="T25" s="39"/>
      <c r="U25" s="27">
        <v>3</v>
      </c>
      <c r="V25" s="27">
        <v>0</v>
      </c>
      <c r="W25" s="32">
        <v>6</v>
      </c>
      <c r="X25" s="27">
        <v>0</v>
      </c>
      <c r="Y25" s="27">
        <v>9</v>
      </c>
      <c r="Z25" s="31">
        <v>0.40899999999999997</v>
      </c>
      <c r="AA25" s="22"/>
      <c r="AB25" s="17"/>
      <c r="AC25" s="17"/>
      <c r="AD25" s="17"/>
      <c r="AE25" s="17"/>
      <c r="AF25" s="22"/>
      <c r="AG25" s="29" t="s">
        <v>209</v>
      </c>
      <c r="AH25" s="29"/>
      <c r="AI25" s="29"/>
      <c r="AJ25" s="29"/>
      <c r="AK25" s="22"/>
      <c r="AL25" s="27"/>
      <c r="AM25" s="27"/>
      <c r="AN25" s="27"/>
      <c r="AO25" s="27"/>
      <c r="AP25" s="27"/>
      <c r="AQ25" s="27"/>
      <c r="AR25" s="40"/>
      <c r="AS25" s="40"/>
      <c r="AT25" s="40"/>
      <c r="AU25" s="234"/>
      <c r="AV25" s="234"/>
      <c r="AW25" s="234"/>
      <c r="AX25"/>
      <c r="AY25"/>
    </row>
    <row r="26" spans="1:51" s="3" customFormat="1" ht="15" customHeight="1" x14ac:dyDescent="0.25">
      <c r="A26" s="2"/>
      <c r="B26" s="27">
        <v>2020</v>
      </c>
      <c r="C26" s="27" t="s">
        <v>57</v>
      </c>
      <c r="D26" s="30" t="s">
        <v>35</v>
      </c>
      <c r="E26" s="27">
        <v>20</v>
      </c>
      <c r="F26" s="27">
        <v>5</v>
      </c>
      <c r="G26" s="27">
        <v>54</v>
      </c>
      <c r="H26" s="27">
        <v>9</v>
      </c>
      <c r="I26" s="27">
        <v>90</v>
      </c>
      <c r="J26" s="27">
        <v>1</v>
      </c>
      <c r="K26" s="27">
        <v>5</v>
      </c>
      <c r="L26" s="27">
        <v>25</v>
      </c>
      <c r="M26" s="27">
        <v>59</v>
      </c>
      <c r="N26" s="31">
        <v>0.49180000000000001</v>
      </c>
      <c r="O26" s="232">
        <v>183</v>
      </c>
      <c r="P26" s="96" t="s">
        <v>57</v>
      </c>
      <c r="Q26" s="17"/>
      <c r="R26" s="17" t="s">
        <v>39</v>
      </c>
      <c r="S26" s="17"/>
      <c r="T26" s="40"/>
      <c r="U26" s="27">
        <v>2</v>
      </c>
      <c r="V26" s="27">
        <v>1</v>
      </c>
      <c r="W26" s="32">
        <v>6</v>
      </c>
      <c r="X26" s="27">
        <v>1</v>
      </c>
      <c r="Y26" s="27">
        <v>10</v>
      </c>
      <c r="Z26" s="188">
        <v>0.625</v>
      </c>
      <c r="AA26" s="39"/>
      <c r="AB26" s="17"/>
      <c r="AC26" s="17"/>
      <c r="AD26" s="17"/>
      <c r="AE26" s="17"/>
      <c r="AF26" s="22"/>
      <c r="AG26" s="29" t="s">
        <v>443</v>
      </c>
      <c r="AH26" s="29"/>
      <c r="AI26" s="29"/>
      <c r="AJ26" s="29"/>
      <c r="AK26" s="22"/>
      <c r="AL26" s="27"/>
      <c r="AM26" s="27"/>
      <c r="AN26" s="27"/>
      <c r="AO26" s="27"/>
      <c r="AP26" s="27"/>
      <c r="AQ26" s="27"/>
      <c r="AR26" s="40"/>
      <c r="AS26" s="40"/>
      <c r="AT26" s="40"/>
      <c r="AU26" s="234"/>
      <c r="AV26" s="234"/>
      <c r="AW26" s="234"/>
      <c r="AX26"/>
      <c r="AY26"/>
    </row>
    <row r="27" spans="1:51" s="3" customFormat="1" ht="15" customHeight="1" x14ac:dyDescent="0.25">
      <c r="A27" s="2"/>
      <c r="B27" s="27">
        <v>2021</v>
      </c>
      <c r="C27" s="27" t="s">
        <v>182</v>
      </c>
      <c r="D27" s="29" t="s">
        <v>35</v>
      </c>
      <c r="E27" s="27">
        <v>27</v>
      </c>
      <c r="F27" s="27">
        <v>5</v>
      </c>
      <c r="G27" s="27">
        <v>72</v>
      </c>
      <c r="H27" s="27">
        <v>14</v>
      </c>
      <c r="I27" s="27">
        <v>119</v>
      </c>
      <c r="J27" s="27">
        <v>1</v>
      </c>
      <c r="K27" s="27">
        <v>11</v>
      </c>
      <c r="L27" s="27">
        <v>30</v>
      </c>
      <c r="M27" s="27">
        <v>77</v>
      </c>
      <c r="N27" s="46">
        <v>0.53359999999999996</v>
      </c>
      <c r="O27" s="22">
        <v>223</v>
      </c>
      <c r="P27" s="17" t="s">
        <v>38</v>
      </c>
      <c r="Q27" s="17"/>
      <c r="R27" s="17" t="s">
        <v>36</v>
      </c>
      <c r="S27" s="17"/>
      <c r="T27" s="39"/>
      <c r="U27" s="27"/>
      <c r="V27" s="27"/>
      <c r="W27" s="32"/>
      <c r="X27" s="27"/>
      <c r="Y27" s="27"/>
      <c r="Z27" s="188"/>
      <c r="AA27" s="22"/>
      <c r="AB27" s="17"/>
      <c r="AC27" s="17"/>
      <c r="AD27" s="17"/>
      <c r="AE27" s="17"/>
      <c r="AF27" s="22"/>
      <c r="AG27" s="29"/>
      <c r="AH27" s="29"/>
      <c r="AI27" s="29"/>
      <c r="AJ27" s="29"/>
      <c r="AK27" s="22"/>
      <c r="AL27" s="27"/>
      <c r="AM27" s="27"/>
      <c r="AN27" s="27"/>
      <c r="AO27" s="27"/>
      <c r="AP27" s="27"/>
      <c r="AQ27" s="27"/>
      <c r="AR27" s="40"/>
      <c r="AS27" s="40"/>
      <c r="AT27" s="40"/>
      <c r="AU27" s="234"/>
      <c r="AV27" s="234"/>
      <c r="AW27" s="234"/>
      <c r="AX27"/>
      <c r="AY27"/>
    </row>
    <row r="28" spans="1:51" s="3" customFormat="1" ht="15" customHeight="1" x14ac:dyDescent="0.25">
      <c r="A28" s="2"/>
      <c r="B28" s="27">
        <v>2022</v>
      </c>
      <c r="C28" s="27" t="s">
        <v>36</v>
      </c>
      <c r="D28" s="29" t="s">
        <v>35</v>
      </c>
      <c r="E28" s="27">
        <v>28</v>
      </c>
      <c r="F28" s="27">
        <v>5</v>
      </c>
      <c r="G28" s="27">
        <v>44</v>
      </c>
      <c r="H28" s="27">
        <v>8</v>
      </c>
      <c r="I28" s="27">
        <v>100</v>
      </c>
      <c r="J28" s="27">
        <v>1</v>
      </c>
      <c r="K28" s="27">
        <v>15</v>
      </c>
      <c r="L28" s="27">
        <v>35</v>
      </c>
      <c r="M28" s="27">
        <v>49</v>
      </c>
      <c r="N28" s="46">
        <v>0.5</v>
      </c>
      <c r="O28" s="22">
        <v>200</v>
      </c>
      <c r="P28" s="17" t="s">
        <v>230</v>
      </c>
      <c r="Q28" s="17"/>
      <c r="R28" s="17" t="s">
        <v>229</v>
      </c>
      <c r="S28" s="17"/>
      <c r="T28" s="22"/>
      <c r="U28" s="27">
        <v>11</v>
      </c>
      <c r="V28" s="27">
        <v>0</v>
      </c>
      <c r="W28" s="32">
        <v>8</v>
      </c>
      <c r="X28" s="27">
        <v>2</v>
      </c>
      <c r="Y28" s="27">
        <v>30</v>
      </c>
      <c r="Z28" s="187">
        <v>0.47620000000000001</v>
      </c>
      <c r="AA28" s="22"/>
      <c r="AB28" s="17"/>
      <c r="AC28" s="17"/>
      <c r="AD28" s="17"/>
      <c r="AE28" s="17"/>
      <c r="AF28" s="22"/>
      <c r="AG28" s="29" t="s">
        <v>489</v>
      </c>
      <c r="AH28" s="29" t="s">
        <v>490</v>
      </c>
      <c r="AI28" s="29" t="s">
        <v>208</v>
      </c>
      <c r="AJ28" s="29"/>
      <c r="AK28" s="22"/>
      <c r="AL28" s="27"/>
      <c r="AM28" s="27"/>
      <c r="AN28" s="27"/>
      <c r="AO28" s="27"/>
      <c r="AP28" s="27"/>
      <c r="AQ28" s="27"/>
      <c r="AR28" s="40"/>
      <c r="AS28" s="40"/>
      <c r="AT28" s="40"/>
      <c r="AU28" s="234"/>
      <c r="AV28" s="234"/>
      <c r="AW28" s="234"/>
      <c r="AX28"/>
      <c r="AY28"/>
    </row>
    <row r="29" spans="1:51" s="3" customFormat="1" ht="15" customHeight="1" x14ac:dyDescent="0.25">
      <c r="A29" s="2"/>
      <c r="B29" s="27">
        <v>2023</v>
      </c>
      <c r="C29" s="27" t="s">
        <v>182</v>
      </c>
      <c r="D29" s="30" t="s">
        <v>35</v>
      </c>
      <c r="E29" s="27">
        <v>28</v>
      </c>
      <c r="F29" s="27">
        <v>5</v>
      </c>
      <c r="G29" s="32">
        <v>37</v>
      </c>
      <c r="H29" s="27">
        <v>8</v>
      </c>
      <c r="I29" s="27">
        <v>117</v>
      </c>
      <c r="J29" s="27">
        <v>1</v>
      </c>
      <c r="K29" s="27">
        <v>17</v>
      </c>
      <c r="L29" s="27">
        <v>57</v>
      </c>
      <c r="M29" s="27">
        <v>42</v>
      </c>
      <c r="N29" s="46">
        <v>0.59090909090909094</v>
      </c>
      <c r="O29" s="39">
        <v>198</v>
      </c>
      <c r="P29" s="17" t="s">
        <v>232</v>
      </c>
      <c r="Q29" s="17"/>
      <c r="R29" s="17" t="s">
        <v>219</v>
      </c>
      <c r="S29" s="17"/>
      <c r="T29" s="39"/>
      <c r="U29" s="27">
        <v>3</v>
      </c>
      <c r="V29" s="27">
        <v>0</v>
      </c>
      <c r="W29" s="32">
        <v>8</v>
      </c>
      <c r="X29" s="27">
        <v>2</v>
      </c>
      <c r="Y29" s="27">
        <v>11</v>
      </c>
      <c r="Z29" s="31">
        <v>0.61109999999999998</v>
      </c>
      <c r="AA29" s="39"/>
      <c r="AB29" s="17"/>
      <c r="AC29" s="17"/>
      <c r="AD29" s="17"/>
      <c r="AE29" s="17"/>
      <c r="AF29" s="22"/>
      <c r="AG29" s="29" t="s">
        <v>575</v>
      </c>
      <c r="AH29" s="29"/>
      <c r="AI29" s="29"/>
      <c r="AJ29" s="29"/>
      <c r="AK29" s="22"/>
      <c r="AL29" s="27"/>
      <c r="AM29" s="27"/>
      <c r="AN29" s="27"/>
      <c r="AO29" s="27"/>
      <c r="AP29" s="27"/>
      <c r="AQ29" s="27"/>
      <c r="AR29" s="40"/>
      <c r="AS29" s="40"/>
      <c r="AT29" s="40"/>
      <c r="AU29" s="234"/>
      <c r="AV29" s="234"/>
      <c r="AW29" s="234"/>
      <c r="AX29"/>
      <c r="AY29"/>
    </row>
    <row r="30" spans="1:51" s="3" customFormat="1" ht="15" customHeight="1" x14ac:dyDescent="0.25">
      <c r="A30" s="1"/>
      <c r="B30" s="15" t="s">
        <v>7</v>
      </c>
      <c r="C30" s="16"/>
      <c r="D30" s="14"/>
      <c r="E30" s="17">
        <f t="shared" ref="E30:M30" si="1">SUM(E4:E29)</f>
        <v>672</v>
      </c>
      <c r="F30" s="17">
        <f t="shared" si="1"/>
        <v>108</v>
      </c>
      <c r="G30" s="17">
        <f t="shared" si="1"/>
        <v>1195</v>
      </c>
      <c r="H30" s="17">
        <f t="shared" si="1"/>
        <v>425</v>
      </c>
      <c r="I30" s="17">
        <f t="shared" si="1"/>
        <v>3578</v>
      </c>
      <c r="J30" s="17">
        <f t="shared" si="1"/>
        <v>188</v>
      </c>
      <c r="K30" s="17">
        <f t="shared" si="1"/>
        <v>680</v>
      </c>
      <c r="L30" s="17">
        <f t="shared" si="1"/>
        <v>1407</v>
      </c>
      <c r="M30" s="16">
        <f t="shared" si="1"/>
        <v>1303</v>
      </c>
      <c r="N30" s="33">
        <f>PRODUCT(I30/O30)</f>
        <v>0.60526605810323952</v>
      </c>
      <c r="O30" s="117">
        <f>SUM(O5:O29)</f>
        <v>5911.4499352773964</v>
      </c>
      <c r="P30" s="96" t="s">
        <v>256</v>
      </c>
      <c r="Q30" s="96" t="s">
        <v>179</v>
      </c>
      <c r="R30" s="96" t="s">
        <v>257</v>
      </c>
      <c r="S30" s="96" t="s">
        <v>509</v>
      </c>
      <c r="T30" s="39"/>
      <c r="U30" s="17">
        <f>SUM(U4:U29)</f>
        <v>181</v>
      </c>
      <c r="V30" s="17">
        <f>SUM(V4:V29)</f>
        <v>18</v>
      </c>
      <c r="W30" s="17">
        <f>SUM(W4:W29)</f>
        <v>239</v>
      </c>
      <c r="X30" s="17">
        <f>SUM(X4:X29)</f>
        <v>83</v>
      </c>
      <c r="Y30" s="17">
        <f>SUM(Y4:Y29)</f>
        <v>863</v>
      </c>
      <c r="Z30" s="158">
        <f>PRODUCT(N36)</f>
        <v>0.58192852326365474</v>
      </c>
      <c r="AA30" s="22"/>
      <c r="AB30" s="96" t="s">
        <v>239</v>
      </c>
      <c r="AC30" s="96" t="s">
        <v>179</v>
      </c>
      <c r="AD30" s="96" t="s">
        <v>239</v>
      </c>
      <c r="AE30" s="96" t="s">
        <v>240</v>
      </c>
      <c r="AF30" s="22"/>
      <c r="AG30" s="96" t="s">
        <v>491</v>
      </c>
      <c r="AH30" s="96" t="s">
        <v>492</v>
      </c>
      <c r="AI30" s="96" t="s">
        <v>493</v>
      </c>
      <c r="AJ30" s="96" t="s">
        <v>167</v>
      </c>
      <c r="AK30" s="22"/>
      <c r="AL30" s="17">
        <f t="shared" ref="AL30:AQ30" si="2">SUM(AL4:AL29)</f>
        <v>11</v>
      </c>
      <c r="AM30" s="17">
        <f t="shared" si="2"/>
        <v>1</v>
      </c>
      <c r="AN30" s="17">
        <f t="shared" si="2"/>
        <v>0</v>
      </c>
      <c r="AO30" s="17">
        <f t="shared" si="2"/>
        <v>1</v>
      </c>
      <c r="AP30" s="17">
        <f t="shared" si="2"/>
        <v>2</v>
      </c>
      <c r="AQ30" s="17">
        <f t="shared" si="2"/>
        <v>1</v>
      </c>
      <c r="AR30" s="40"/>
      <c r="AS30" s="40"/>
      <c r="AT30" s="40"/>
      <c r="AU30" s="234"/>
      <c r="AV30" s="234"/>
      <c r="AW30" s="234"/>
      <c r="AX30"/>
      <c r="AY30"/>
    </row>
    <row r="31" spans="1:51" s="3" customFormat="1" ht="15" customHeight="1" x14ac:dyDescent="0.25">
      <c r="A31" s="1"/>
      <c r="B31" s="15" t="s">
        <v>510</v>
      </c>
      <c r="C31" s="16"/>
      <c r="D31" s="14"/>
      <c r="E31" s="16" t="s">
        <v>34</v>
      </c>
      <c r="F31" s="13" t="s">
        <v>40</v>
      </c>
      <c r="G31" s="13" t="s">
        <v>36</v>
      </c>
      <c r="H31" s="13"/>
      <c r="I31" s="13" t="s">
        <v>40</v>
      </c>
      <c r="J31" s="13"/>
      <c r="K31" s="13"/>
      <c r="L31" s="13"/>
      <c r="M31" s="13"/>
      <c r="N31" s="148"/>
      <c r="O31" s="22"/>
      <c r="P31" s="21"/>
      <c r="Q31" s="19"/>
      <c r="R31" s="149"/>
      <c r="S31" s="150"/>
      <c r="T31" s="22"/>
      <c r="U31" s="16" t="s">
        <v>39</v>
      </c>
      <c r="V31" s="13" t="s">
        <v>36</v>
      </c>
      <c r="W31" s="13" t="s">
        <v>37</v>
      </c>
      <c r="X31" s="13"/>
      <c r="Y31" s="13" t="s">
        <v>39</v>
      </c>
      <c r="Z31" s="14"/>
      <c r="AA31" s="22"/>
      <c r="AB31" s="151"/>
      <c r="AC31" s="152"/>
      <c r="AD31" s="149"/>
      <c r="AE31" s="150"/>
      <c r="AF31" s="22"/>
      <c r="AG31" s="153">
        <f>PRODUCT(11/23)</f>
        <v>0.47826086956521741</v>
      </c>
      <c r="AH31" s="154">
        <f>PRODUCT(3/11)</f>
        <v>0.27272727272727271</v>
      </c>
      <c r="AI31" s="154">
        <v>0</v>
      </c>
      <c r="AJ31" s="155">
        <v>0.33300000000000002</v>
      </c>
      <c r="AK31" s="22"/>
      <c r="AL31" s="16"/>
      <c r="AM31" s="13"/>
      <c r="AN31" s="13"/>
      <c r="AO31" s="13"/>
      <c r="AP31" s="13"/>
      <c r="AQ31" s="14"/>
      <c r="AR31" s="40"/>
      <c r="AS31" s="40"/>
      <c r="AT31" s="40"/>
      <c r="AU31" s="234"/>
      <c r="AV31" s="234"/>
      <c r="AW31" s="234"/>
      <c r="AX31"/>
      <c r="AY31"/>
    </row>
    <row r="32" spans="1:51" ht="15" customHeight="1" x14ac:dyDescent="0.25">
      <c r="A32" s="2"/>
      <c r="B32" s="30" t="s">
        <v>2</v>
      </c>
      <c r="C32" s="34"/>
      <c r="D32" s="35">
        <f>SUM(F30:H30)+((I30-F30-G30)/3)+(E30/3)+(AL30*25)+(AM30*25)+(AN30*10)+(AO30*25)+(AP30*20)+(AQ30*15)</f>
        <v>3090.3333333333335</v>
      </c>
      <c r="E32" s="36"/>
      <c r="F32" s="36"/>
      <c r="G32" s="36"/>
      <c r="H32" s="36"/>
      <c r="I32" s="36"/>
      <c r="J32" s="36"/>
      <c r="K32" s="36"/>
      <c r="L32" s="36"/>
      <c r="M32" s="36"/>
      <c r="N32" s="37"/>
      <c r="O32" s="36"/>
      <c r="P32" s="22"/>
      <c r="Q32" s="22"/>
      <c r="R32" s="22"/>
      <c r="S32" s="22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22"/>
      <c r="AG32" s="111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40"/>
      <c r="AS32" s="40"/>
      <c r="AT32" s="40"/>
    </row>
    <row r="33" spans="1:52" s="3" customFormat="1" ht="15" customHeight="1" x14ac:dyDescent="0.25">
      <c r="A33" s="2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7"/>
      <c r="O33" s="39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40"/>
      <c r="AS33" s="40"/>
      <c r="AT33" s="40"/>
      <c r="AU33" s="234"/>
      <c r="AV33" s="234"/>
      <c r="AW33" s="234"/>
      <c r="AX33"/>
      <c r="AY33"/>
    </row>
    <row r="34" spans="1:52" ht="15" customHeight="1" x14ac:dyDescent="0.25">
      <c r="A34" s="2"/>
      <c r="B34" s="21" t="s">
        <v>25</v>
      </c>
      <c r="C34" s="41"/>
      <c r="D34" s="41"/>
      <c r="E34" s="17" t="s">
        <v>3</v>
      </c>
      <c r="F34" s="17" t="s">
        <v>8</v>
      </c>
      <c r="G34" s="14" t="s">
        <v>5</v>
      </c>
      <c r="H34" s="17" t="s">
        <v>6</v>
      </c>
      <c r="I34" s="17" t="s">
        <v>17</v>
      </c>
      <c r="J34" s="36"/>
      <c r="K34" s="17" t="s">
        <v>27</v>
      </c>
      <c r="L34" s="17" t="s">
        <v>28</v>
      </c>
      <c r="M34" s="17" t="s">
        <v>29</v>
      </c>
      <c r="N34" s="17" t="s">
        <v>22</v>
      </c>
      <c r="O34" s="22"/>
      <c r="P34" s="42" t="s">
        <v>464</v>
      </c>
      <c r="Q34" s="11"/>
      <c r="R34" s="11"/>
      <c r="S34" s="11"/>
      <c r="T34" s="43"/>
      <c r="U34" s="43"/>
      <c r="V34" s="43"/>
      <c r="W34" s="43"/>
      <c r="X34" s="43"/>
      <c r="Y34" s="11"/>
      <c r="Z34" s="11"/>
      <c r="AA34" s="11"/>
      <c r="AB34" s="43"/>
      <c r="AC34" s="43"/>
      <c r="AD34" s="11"/>
      <c r="AE34" s="44"/>
      <c r="AF34" s="22"/>
      <c r="AG34" s="42" t="s">
        <v>465</v>
      </c>
      <c r="AH34" s="11"/>
      <c r="AI34" s="11"/>
      <c r="AJ34" s="11"/>
      <c r="AK34" s="11"/>
      <c r="AL34" s="10" t="s">
        <v>466</v>
      </c>
      <c r="AM34" s="11"/>
      <c r="AN34" s="11"/>
      <c r="AO34" s="11"/>
      <c r="AP34" s="11"/>
      <c r="AQ34" s="44"/>
      <c r="AR34" s="40"/>
      <c r="AS34" s="40"/>
      <c r="AT34" s="40"/>
    </row>
    <row r="35" spans="1:52" ht="15" customHeight="1" x14ac:dyDescent="0.25">
      <c r="A35" s="2"/>
      <c r="B35" s="42" t="s">
        <v>13</v>
      </c>
      <c r="C35" s="11"/>
      <c r="D35" s="44"/>
      <c r="E35" s="27">
        <f>PRODUCT(E30)</f>
        <v>672</v>
      </c>
      <c r="F35" s="27">
        <f>PRODUCT(F30)</f>
        <v>108</v>
      </c>
      <c r="G35" s="27">
        <f>PRODUCT(G30)</f>
        <v>1195</v>
      </c>
      <c r="H35" s="27">
        <f>PRODUCT(H30)</f>
        <v>425</v>
      </c>
      <c r="I35" s="27">
        <f>PRODUCT(I30)</f>
        <v>3578</v>
      </c>
      <c r="J35" s="36"/>
      <c r="K35" s="45">
        <f>PRODUCT((F35+G35)/E35)</f>
        <v>1.9389880952380953</v>
      </c>
      <c r="L35" s="45">
        <f>PRODUCT(H35/E35)</f>
        <v>0.63244047619047616</v>
      </c>
      <c r="M35" s="45">
        <f>PRODUCT(I35/E35)</f>
        <v>5.3244047619047619</v>
      </c>
      <c r="N35" s="46">
        <f>PRODUCT(N30)</f>
        <v>0.60526605810323952</v>
      </c>
      <c r="O35" s="22">
        <f>PRODUCT(O30)</f>
        <v>5911.4499352773964</v>
      </c>
      <c r="P35" s="168" t="s">
        <v>9</v>
      </c>
      <c r="Q35" s="211"/>
      <c r="R35" s="169" t="s">
        <v>42</v>
      </c>
      <c r="S35" s="169"/>
      <c r="T35" s="169"/>
      <c r="U35" s="169"/>
      <c r="V35" s="169"/>
      <c r="W35" s="169"/>
      <c r="X35" s="169"/>
      <c r="Y35" s="169"/>
      <c r="Z35" s="169"/>
      <c r="AA35" s="212" t="s">
        <v>11</v>
      </c>
      <c r="AB35" s="169"/>
      <c r="AC35" s="213" t="s">
        <v>45</v>
      </c>
      <c r="AD35" s="214"/>
      <c r="AE35" s="170"/>
      <c r="AF35" s="22"/>
      <c r="AG35" s="168" t="s">
        <v>9</v>
      </c>
      <c r="AH35" s="169" t="s">
        <v>468</v>
      </c>
      <c r="AI35" s="169"/>
      <c r="AJ35" s="220"/>
      <c r="AK35" s="220"/>
      <c r="AL35" s="220">
        <v>2166</v>
      </c>
      <c r="AM35" s="220"/>
      <c r="AN35" s="198" t="s">
        <v>472</v>
      </c>
      <c r="AO35" s="220"/>
      <c r="AP35" s="220"/>
      <c r="AQ35" s="213"/>
      <c r="AR35" s="40"/>
      <c r="AS35" s="40"/>
      <c r="AT35" s="40"/>
    </row>
    <row r="36" spans="1:52" ht="15" customHeight="1" x14ac:dyDescent="0.25">
      <c r="A36" s="2"/>
      <c r="B36" s="47" t="s">
        <v>15</v>
      </c>
      <c r="C36" s="48"/>
      <c r="D36" s="49"/>
      <c r="E36" s="27">
        <f>SUM(U30)</f>
        <v>181</v>
      </c>
      <c r="F36" s="27">
        <f>SUM(V30)</f>
        <v>18</v>
      </c>
      <c r="G36" s="27">
        <f>SUM(W30)</f>
        <v>239</v>
      </c>
      <c r="H36" s="27">
        <f>SUM(X30)</f>
        <v>83</v>
      </c>
      <c r="I36" s="27">
        <f>SUM(Y30)</f>
        <v>863</v>
      </c>
      <c r="J36" s="36"/>
      <c r="K36" s="45">
        <f>PRODUCT((F36+G36)/E36)</f>
        <v>1.419889502762431</v>
      </c>
      <c r="L36" s="45">
        <f>PRODUCT(H36/E36)</f>
        <v>0.4585635359116022</v>
      </c>
      <c r="M36" s="45">
        <f>PRODUCT(I36/E36)</f>
        <v>4.7679558011049723</v>
      </c>
      <c r="N36" s="46">
        <f>PRODUCT(I36/O36)</f>
        <v>0.58192852326365474</v>
      </c>
      <c r="O36" s="22">
        <v>1483</v>
      </c>
      <c r="P36" s="215" t="s">
        <v>180</v>
      </c>
      <c r="Q36" s="216"/>
      <c r="R36" s="194" t="s">
        <v>42</v>
      </c>
      <c r="S36" s="194"/>
      <c r="T36" s="194"/>
      <c r="U36" s="194"/>
      <c r="V36" s="194"/>
      <c r="W36" s="194"/>
      <c r="X36" s="194"/>
      <c r="Y36" s="194"/>
      <c r="Z36" s="194"/>
      <c r="AA36" s="217" t="s">
        <v>11</v>
      </c>
      <c r="AB36" s="194"/>
      <c r="AC36" s="203" t="s">
        <v>45</v>
      </c>
      <c r="AD36" s="193"/>
      <c r="AE36" s="205"/>
      <c r="AF36" s="22"/>
      <c r="AG36" s="215" t="s">
        <v>180</v>
      </c>
      <c r="AH36" s="194" t="s">
        <v>469</v>
      </c>
      <c r="AI36" s="194"/>
      <c r="AJ36" s="117"/>
      <c r="AK36" s="117"/>
      <c r="AL36" s="117">
        <v>2007</v>
      </c>
      <c r="AM36" s="117"/>
      <c r="AN36" s="198" t="s">
        <v>471</v>
      </c>
      <c r="AO36" s="117"/>
      <c r="AP36" s="117"/>
      <c r="AQ36" s="203"/>
      <c r="AR36" s="40"/>
      <c r="AS36" s="40"/>
      <c r="AT36" s="40"/>
    </row>
    <row r="37" spans="1:52" ht="15" customHeight="1" x14ac:dyDescent="0.25">
      <c r="A37" s="2"/>
      <c r="B37" s="50" t="s">
        <v>16</v>
      </c>
      <c r="C37" s="51"/>
      <c r="D37" s="52"/>
      <c r="E37" s="28"/>
      <c r="F37" s="28"/>
      <c r="G37" s="28"/>
      <c r="H37" s="28"/>
      <c r="I37" s="28"/>
      <c r="J37" s="36"/>
      <c r="K37" s="53"/>
      <c r="L37" s="53"/>
      <c r="M37" s="53"/>
      <c r="N37" s="54"/>
      <c r="O37" s="22"/>
      <c r="P37" s="215" t="s">
        <v>181</v>
      </c>
      <c r="Q37" s="216"/>
      <c r="R37" s="194" t="s">
        <v>43</v>
      </c>
      <c r="S37" s="194"/>
      <c r="T37" s="194"/>
      <c r="U37" s="194"/>
      <c r="V37" s="194"/>
      <c r="W37" s="194"/>
      <c r="X37" s="194"/>
      <c r="Y37" s="194"/>
      <c r="Z37" s="194"/>
      <c r="AA37" s="217" t="s">
        <v>46</v>
      </c>
      <c r="AB37" s="194"/>
      <c r="AC37" s="203" t="s">
        <v>47</v>
      </c>
      <c r="AD37" s="193"/>
      <c r="AE37" s="205"/>
      <c r="AF37" s="22"/>
      <c r="AG37" s="215" t="s">
        <v>181</v>
      </c>
      <c r="AH37" s="194" t="s">
        <v>470</v>
      </c>
      <c r="AI37" s="194"/>
      <c r="AJ37" s="117"/>
      <c r="AK37" s="117"/>
      <c r="AL37" s="117">
        <v>3723</v>
      </c>
      <c r="AM37" s="117"/>
      <c r="AN37" s="198" t="s">
        <v>473</v>
      </c>
      <c r="AO37" s="117"/>
      <c r="AP37" s="117"/>
      <c r="AQ37" s="203"/>
      <c r="AR37" s="40"/>
      <c r="AS37" s="40"/>
      <c r="AT37" s="40"/>
    </row>
    <row r="38" spans="1:52" ht="15" customHeight="1" x14ac:dyDescent="0.25">
      <c r="A38" s="2"/>
      <c r="B38" s="55" t="s">
        <v>26</v>
      </c>
      <c r="C38" s="56"/>
      <c r="D38" s="57"/>
      <c r="E38" s="17">
        <f>SUM(E35:E37)</f>
        <v>853</v>
      </c>
      <c r="F38" s="17">
        <f>SUM(F35:F37)</f>
        <v>126</v>
      </c>
      <c r="G38" s="17">
        <f>SUM(G35:G37)</f>
        <v>1434</v>
      </c>
      <c r="H38" s="17">
        <f>SUM(H35:H37)</f>
        <v>508</v>
      </c>
      <c r="I38" s="17">
        <f>SUM(I35:I37)</f>
        <v>4441</v>
      </c>
      <c r="J38" s="36"/>
      <c r="K38" s="58">
        <f>PRODUCT((F38+G38)/E38)</f>
        <v>1.8288393903868698</v>
      </c>
      <c r="L38" s="58">
        <f>PRODUCT(H38/E38)</f>
        <v>0.59554513481828841</v>
      </c>
      <c r="M38" s="58">
        <f>PRODUCT(I38/E38)</f>
        <v>5.2063305978898011</v>
      </c>
      <c r="N38" s="33">
        <f>PRODUCT(I38/O38)</f>
        <v>0.60058557957271497</v>
      </c>
      <c r="O38" s="22">
        <f>SUM(O35:O37)</f>
        <v>7394.4499352773964</v>
      </c>
      <c r="P38" s="206" t="s">
        <v>10</v>
      </c>
      <c r="Q38" s="218"/>
      <c r="R38" s="207" t="s">
        <v>44</v>
      </c>
      <c r="S38" s="207"/>
      <c r="T38" s="207"/>
      <c r="U38" s="207"/>
      <c r="V38" s="207"/>
      <c r="W38" s="207"/>
      <c r="X38" s="207"/>
      <c r="Y38" s="207"/>
      <c r="Z38" s="207"/>
      <c r="AA38" s="219" t="s">
        <v>48</v>
      </c>
      <c r="AB38" s="207"/>
      <c r="AC38" s="74" t="s">
        <v>49</v>
      </c>
      <c r="AD38" s="75"/>
      <c r="AE38" s="210"/>
      <c r="AF38" s="22"/>
      <c r="AG38" s="206" t="s">
        <v>10</v>
      </c>
      <c r="AH38" s="207" t="s">
        <v>467</v>
      </c>
      <c r="AI38" s="207"/>
      <c r="AJ38" s="202"/>
      <c r="AK38" s="202"/>
      <c r="AL38" s="202">
        <v>1643</v>
      </c>
      <c r="AM38" s="202"/>
      <c r="AN38" s="233" t="s">
        <v>474</v>
      </c>
      <c r="AO38" s="202"/>
      <c r="AP38" s="202"/>
      <c r="AQ38" s="74"/>
      <c r="AR38" s="40"/>
      <c r="AS38" s="40"/>
      <c r="AT38" s="40"/>
    </row>
    <row r="39" spans="1:52" ht="15" customHeight="1" x14ac:dyDescent="0.25">
      <c r="A39" s="2"/>
      <c r="B39" s="38"/>
      <c r="C39" s="38"/>
      <c r="D39" s="38"/>
      <c r="E39" s="38"/>
      <c r="F39" s="38"/>
      <c r="G39" s="38"/>
      <c r="H39" s="38"/>
      <c r="I39" s="38"/>
      <c r="J39" s="36"/>
      <c r="K39" s="38"/>
      <c r="L39" s="38"/>
      <c r="M39" s="38"/>
      <c r="N39" s="37"/>
      <c r="O39" s="22"/>
      <c r="P39" s="36"/>
      <c r="Q39" s="36"/>
      <c r="R39" s="36"/>
      <c r="S39" s="36"/>
      <c r="T39" s="22"/>
      <c r="U39" s="22"/>
      <c r="V39" s="36"/>
      <c r="W39" s="36"/>
      <c r="X39" s="36"/>
      <c r="Y39" s="22"/>
      <c r="Z39" s="22"/>
      <c r="AA39" s="22"/>
      <c r="AB39" s="22"/>
      <c r="AC39" s="22"/>
      <c r="AD39" s="22"/>
      <c r="AE39" s="22"/>
      <c r="AF39" s="22"/>
      <c r="AG39" s="22"/>
      <c r="AH39" s="59"/>
      <c r="AI39" s="36"/>
      <c r="AJ39" s="36"/>
      <c r="AK39" s="22"/>
      <c r="AL39" s="36"/>
      <c r="AM39" s="36"/>
      <c r="AN39" s="36"/>
      <c r="AO39" s="36"/>
      <c r="AP39" s="36"/>
      <c r="AQ39" s="36"/>
      <c r="AR39" s="40"/>
      <c r="AS39" s="40"/>
      <c r="AT39" s="40"/>
    </row>
    <row r="40" spans="1:52" ht="15" customHeight="1" x14ac:dyDescent="0.25">
      <c r="A40" s="2"/>
      <c r="B40" s="42" t="s">
        <v>241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56"/>
      <c r="O40" s="10"/>
      <c r="P40" s="11"/>
      <c r="Q40" s="11"/>
      <c r="R40" s="11"/>
      <c r="S40" s="11"/>
      <c r="T40" s="10"/>
      <c r="U40" s="10"/>
      <c r="V40" s="157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44"/>
      <c r="AR40" s="40"/>
      <c r="AS40" s="40"/>
      <c r="AT40" s="40"/>
      <c r="AZ40" s="40"/>
    </row>
    <row r="41" spans="1:52" ht="15" customHeight="1" x14ac:dyDescent="0.25">
      <c r="A41" s="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40"/>
      <c r="AS41" s="40"/>
      <c r="AT41" s="40"/>
    </row>
    <row r="42" spans="1:52" ht="15" customHeight="1" x14ac:dyDescent="0.25">
      <c r="A42" s="2"/>
      <c r="B42" s="36" t="s">
        <v>53</v>
      </c>
      <c r="C42" s="36"/>
      <c r="D42" s="36" t="s">
        <v>56</v>
      </c>
      <c r="E42" s="36"/>
      <c r="F42" s="36"/>
      <c r="G42" s="36"/>
      <c r="H42" s="36"/>
      <c r="I42" s="36"/>
      <c r="J42" s="36"/>
      <c r="K42" s="36"/>
      <c r="L42" s="36"/>
      <c r="M42" s="36"/>
      <c r="N42" s="36" t="s">
        <v>54</v>
      </c>
      <c r="O42" s="22"/>
      <c r="P42" s="22"/>
      <c r="Q42" s="22"/>
      <c r="R42" s="22"/>
      <c r="S42" s="22"/>
      <c r="T42" s="22"/>
      <c r="U42" s="22"/>
      <c r="V42" s="22"/>
      <c r="W42" s="111" t="s">
        <v>213</v>
      </c>
      <c r="X42" s="22"/>
      <c r="Y42" s="22"/>
      <c r="Z42" s="22"/>
      <c r="AA42" s="22"/>
      <c r="AB42" s="22"/>
      <c r="AC42" s="22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40"/>
      <c r="AS42" s="40"/>
      <c r="AT42" s="40"/>
    </row>
    <row r="43" spans="1:52" s="69" customFormat="1" ht="15" customHeight="1" x14ac:dyDescent="0.25">
      <c r="A43" s="65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40"/>
      <c r="AS43" s="40"/>
      <c r="AT43" s="40"/>
      <c r="AU43" s="234"/>
      <c r="AV43" s="234"/>
      <c r="AW43" s="234"/>
      <c r="AX43"/>
      <c r="AY43"/>
    </row>
    <row r="44" spans="1:52" ht="15" customHeight="1" x14ac:dyDescent="0.25">
      <c r="A44" s="2"/>
      <c r="B44" s="191" t="s">
        <v>369</v>
      </c>
      <c r="C44" s="66"/>
      <c r="D44" s="66"/>
      <c r="E44" s="66"/>
      <c r="F44" s="66" t="s">
        <v>351</v>
      </c>
      <c r="G44" s="66" t="s">
        <v>3</v>
      </c>
      <c r="H44" s="66" t="s">
        <v>5</v>
      </c>
      <c r="I44" s="66" t="s">
        <v>6</v>
      </c>
      <c r="J44" s="66" t="s">
        <v>259</v>
      </c>
      <c r="K44" s="192" t="s">
        <v>17</v>
      </c>
      <c r="L44" s="36"/>
      <c r="M44" s="221" t="s">
        <v>516</v>
      </c>
      <c r="N44" s="67"/>
      <c r="O44" s="67"/>
      <c r="P44" s="66" t="s">
        <v>3</v>
      </c>
      <c r="Q44" s="66" t="s">
        <v>5</v>
      </c>
      <c r="R44" s="66" t="s">
        <v>6</v>
      </c>
      <c r="S44" s="66" t="s">
        <v>259</v>
      </c>
      <c r="T44" s="67"/>
      <c r="U44" s="192" t="s">
        <v>17</v>
      </c>
      <c r="V44" s="36"/>
      <c r="W44" s="221" t="s">
        <v>401</v>
      </c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191" t="s">
        <v>477</v>
      </c>
      <c r="AJ44" s="66"/>
      <c r="AK44" s="68"/>
      <c r="AL44" s="66" t="s">
        <v>478</v>
      </c>
      <c r="AM44" s="67"/>
      <c r="AN44" s="68" t="s">
        <v>479</v>
      </c>
      <c r="AO44" s="67"/>
      <c r="AP44" s="66" t="s">
        <v>480</v>
      </c>
      <c r="AQ44" s="130"/>
      <c r="AR44" s="40"/>
      <c r="AS44" s="40"/>
      <c r="AT44" s="40"/>
    </row>
    <row r="45" spans="1:52" ht="15" customHeight="1" x14ac:dyDescent="0.25">
      <c r="A45" s="2"/>
      <c r="B45" s="193">
        <v>1999</v>
      </c>
      <c r="C45" s="117" t="s">
        <v>34</v>
      </c>
      <c r="D45" s="194" t="s">
        <v>35</v>
      </c>
      <c r="E45" s="117"/>
      <c r="F45" s="117">
        <v>19</v>
      </c>
      <c r="G45" s="117">
        <v>26</v>
      </c>
      <c r="H45" s="195">
        <v>0.92307692307692313</v>
      </c>
      <c r="I45" s="195">
        <v>0.5</v>
      </c>
      <c r="J45" s="195">
        <v>1.4230769230769231</v>
      </c>
      <c r="K45" s="196">
        <v>3.4230769230769229</v>
      </c>
      <c r="L45" s="36"/>
      <c r="M45" s="197" t="s">
        <v>346</v>
      </c>
      <c r="N45" s="117"/>
      <c r="O45" s="117"/>
      <c r="P45" s="117" t="s">
        <v>517</v>
      </c>
      <c r="Q45" s="117" t="s">
        <v>518</v>
      </c>
      <c r="R45" s="117" t="s">
        <v>519</v>
      </c>
      <c r="S45" s="117" t="s">
        <v>520</v>
      </c>
      <c r="T45" s="195"/>
      <c r="U45" s="196" t="s">
        <v>521</v>
      </c>
      <c r="V45" s="36"/>
      <c r="W45" s="197" t="s">
        <v>260</v>
      </c>
      <c r="X45" s="198"/>
      <c r="Y45" s="194"/>
      <c r="Z45" s="194"/>
      <c r="AA45" s="194"/>
      <c r="AB45" s="194"/>
      <c r="AC45" s="194"/>
      <c r="AD45" s="194"/>
      <c r="AE45" s="194"/>
      <c r="AF45" s="194"/>
      <c r="AG45" s="217"/>
      <c r="AH45" s="194"/>
      <c r="AI45" s="193">
        <v>2008</v>
      </c>
      <c r="AJ45" s="201" t="s">
        <v>481</v>
      </c>
      <c r="AK45" s="201"/>
      <c r="AL45" s="235">
        <v>1042.3</v>
      </c>
      <c r="AM45" s="194"/>
      <c r="AN45" s="237">
        <v>67.7</v>
      </c>
      <c r="AO45" s="117"/>
      <c r="AP45" s="117">
        <v>1</v>
      </c>
      <c r="AQ45" s="205"/>
      <c r="AR45" s="40"/>
      <c r="AS45" s="40"/>
      <c r="AT45" s="40"/>
    </row>
    <row r="46" spans="1:52" ht="15" customHeight="1" x14ac:dyDescent="0.25">
      <c r="A46" s="2"/>
      <c r="B46" s="193">
        <v>2000</v>
      </c>
      <c r="C46" s="117" t="s">
        <v>36</v>
      </c>
      <c r="D46" s="194" t="s">
        <v>35</v>
      </c>
      <c r="E46" s="117"/>
      <c r="F46" s="117">
        <f>PRODUCT(F45+1)</f>
        <v>20</v>
      </c>
      <c r="G46" s="117">
        <v>28</v>
      </c>
      <c r="H46" s="195">
        <v>1.1428571428571428</v>
      </c>
      <c r="I46" s="195">
        <v>0.75</v>
      </c>
      <c r="J46" s="195">
        <v>1.8928571428571428</v>
      </c>
      <c r="K46" s="196">
        <v>4.4285714285714288</v>
      </c>
      <c r="L46" s="36"/>
      <c r="M46" s="197" t="s">
        <v>269</v>
      </c>
      <c r="N46" s="117"/>
      <c r="O46" s="117"/>
      <c r="P46" s="117" t="s">
        <v>522</v>
      </c>
      <c r="Q46" s="117" t="s">
        <v>523</v>
      </c>
      <c r="R46" s="117" t="s">
        <v>524</v>
      </c>
      <c r="S46" s="117" t="s">
        <v>525</v>
      </c>
      <c r="T46" s="195"/>
      <c r="U46" s="196" t="s">
        <v>526</v>
      </c>
      <c r="V46" s="36"/>
      <c r="W46" s="199" t="s">
        <v>268</v>
      </c>
      <c r="X46" s="198"/>
      <c r="Y46" s="198" t="s">
        <v>403</v>
      </c>
      <c r="Z46" s="198"/>
      <c r="AA46" s="198"/>
      <c r="AB46" s="198"/>
      <c r="AC46" s="198"/>
      <c r="AD46" s="198"/>
      <c r="AE46" s="198"/>
      <c r="AF46" s="198"/>
      <c r="AG46" s="198" t="s">
        <v>404</v>
      </c>
      <c r="AH46" s="194"/>
      <c r="AI46" s="193">
        <v>2009</v>
      </c>
      <c r="AJ46" s="201" t="s">
        <v>362</v>
      </c>
      <c r="AK46" s="201"/>
      <c r="AL46" s="235">
        <v>1158.3</v>
      </c>
      <c r="AM46" s="198"/>
      <c r="AN46" s="237">
        <f>PRODUCT(AL46-AL45)</f>
        <v>116</v>
      </c>
      <c r="AO46" s="198"/>
      <c r="AP46" s="117"/>
      <c r="AQ46" s="236"/>
      <c r="AR46" s="40"/>
      <c r="AS46" s="40"/>
      <c r="AT46" s="40"/>
    </row>
    <row r="47" spans="1:52" ht="15" customHeight="1" x14ac:dyDescent="0.25">
      <c r="A47" s="2"/>
      <c r="B47" s="193">
        <v>2001</v>
      </c>
      <c r="C47" s="117" t="s">
        <v>36</v>
      </c>
      <c r="D47" s="194" t="s">
        <v>35</v>
      </c>
      <c r="E47" s="117"/>
      <c r="F47" s="117">
        <f t="shared" ref="F47:F66" si="3">PRODUCT(F46+1)</f>
        <v>21</v>
      </c>
      <c r="G47" s="117">
        <v>28</v>
      </c>
      <c r="H47" s="195">
        <v>2.25</v>
      </c>
      <c r="I47" s="195">
        <v>1.1428571428571428</v>
      </c>
      <c r="J47" s="195">
        <v>3.3928571428571428</v>
      </c>
      <c r="K47" s="196">
        <v>5.25</v>
      </c>
      <c r="L47" s="36"/>
      <c r="M47" s="197" t="s">
        <v>271</v>
      </c>
      <c r="N47" s="117"/>
      <c r="O47" s="117"/>
      <c r="P47" s="117" t="s">
        <v>527</v>
      </c>
      <c r="Q47" s="117" t="s">
        <v>528</v>
      </c>
      <c r="R47" s="117" t="s">
        <v>529</v>
      </c>
      <c r="S47" s="117" t="s">
        <v>530</v>
      </c>
      <c r="T47" s="195"/>
      <c r="U47" s="196" t="s">
        <v>531</v>
      </c>
      <c r="V47" s="36"/>
      <c r="W47" s="199" t="s">
        <v>261</v>
      </c>
      <c r="X47" s="198"/>
      <c r="Y47" s="230" t="s">
        <v>310</v>
      </c>
      <c r="Z47" s="198"/>
      <c r="AA47" s="198"/>
      <c r="AB47" s="198"/>
      <c r="AC47" s="198"/>
      <c r="AD47" s="198"/>
      <c r="AE47" s="198"/>
      <c r="AF47" s="198"/>
      <c r="AG47" s="198" t="s">
        <v>309</v>
      </c>
      <c r="AH47" s="194"/>
      <c r="AI47" s="193">
        <v>2010</v>
      </c>
      <c r="AJ47" s="201" t="s">
        <v>482</v>
      </c>
      <c r="AK47" s="201"/>
      <c r="AL47" s="235">
        <v>1273.3</v>
      </c>
      <c r="AM47" s="198"/>
      <c r="AN47" s="237">
        <f t="shared" ref="AN47:AN58" si="4">PRODUCT(AL47-AL46)</f>
        <v>115</v>
      </c>
      <c r="AO47" s="198"/>
      <c r="AP47" s="117"/>
      <c r="AQ47" s="236"/>
      <c r="AR47" s="40"/>
      <c r="AS47" s="40"/>
      <c r="AT47" s="40"/>
    </row>
    <row r="48" spans="1:52" ht="15" customHeight="1" x14ac:dyDescent="0.25">
      <c r="A48" s="2"/>
      <c r="B48" s="193">
        <v>2002</v>
      </c>
      <c r="C48" s="117" t="s">
        <v>37</v>
      </c>
      <c r="D48" s="194" t="s">
        <v>35</v>
      </c>
      <c r="E48" s="117"/>
      <c r="F48" s="117">
        <f t="shared" si="3"/>
        <v>22</v>
      </c>
      <c r="G48" s="117">
        <v>29</v>
      </c>
      <c r="H48" s="195">
        <v>1.2758620689655173</v>
      </c>
      <c r="I48" s="195">
        <v>0.58620689655172409</v>
      </c>
      <c r="J48" s="195">
        <v>1.8620689655172413</v>
      </c>
      <c r="K48" s="196">
        <v>4.5172413793103452</v>
      </c>
      <c r="L48" s="36"/>
      <c r="M48" s="197" t="s">
        <v>273</v>
      </c>
      <c r="N48" s="117"/>
      <c r="O48" s="117"/>
      <c r="P48" s="117" t="s">
        <v>532</v>
      </c>
      <c r="Q48" s="117" t="s">
        <v>533</v>
      </c>
      <c r="R48" s="117" t="s">
        <v>534</v>
      </c>
      <c r="S48" s="117" t="s">
        <v>535</v>
      </c>
      <c r="T48" s="195"/>
      <c r="U48" s="196" t="s">
        <v>536</v>
      </c>
      <c r="V48" s="36"/>
      <c r="W48" s="199" t="s">
        <v>262</v>
      </c>
      <c r="X48" s="198"/>
      <c r="Y48" s="198" t="s">
        <v>312</v>
      </c>
      <c r="Z48" s="198"/>
      <c r="AA48" s="198"/>
      <c r="AB48" s="198"/>
      <c r="AC48" s="198"/>
      <c r="AD48" s="198"/>
      <c r="AE48" s="198"/>
      <c r="AF48" s="198"/>
      <c r="AG48" s="194" t="s">
        <v>311</v>
      </c>
      <c r="AH48" s="194"/>
      <c r="AI48" s="193">
        <v>2011</v>
      </c>
      <c r="AJ48" s="201" t="s">
        <v>363</v>
      </c>
      <c r="AK48" s="201"/>
      <c r="AL48" s="235">
        <v>1441.3</v>
      </c>
      <c r="AM48" s="198"/>
      <c r="AN48" s="237">
        <f t="shared" si="4"/>
        <v>168</v>
      </c>
      <c r="AO48" s="198"/>
      <c r="AP48" s="117">
        <v>2</v>
      </c>
      <c r="AQ48" s="236"/>
      <c r="AR48" s="40"/>
      <c r="AS48" s="40"/>
      <c r="AT48" s="40"/>
    </row>
    <row r="49" spans="1:51" ht="15" customHeight="1" x14ac:dyDescent="0.25">
      <c r="A49" s="2"/>
      <c r="B49" s="193">
        <v>2003</v>
      </c>
      <c r="C49" s="117" t="s">
        <v>38</v>
      </c>
      <c r="D49" s="194" t="s">
        <v>35</v>
      </c>
      <c r="E49" s="117"/>
      <c r="F49" s="117">
        <f t="shared" si="3"/>
        <v>23</v>
      </c>
      <c r="G49" s="117">
        <v>26</v>
      </c>
      <c r="H49" s="195">
        <v>1.7692307692307692</v>
      </c>
      <c r="I49" s="195">
        <v>0.26923076923076922</v>
      </c>
      <c r="J49" s="195">
        <v>2.0384615384615383</v>
      </c>
      <c r="K49" s="196">
        <v>3.9615384615384617</v>
      </c>
      <c r="L49" s="36"/>
      <c r="M49" s="197" t="s">
        <v>275</v>
      </c>
      <c r="N49" s="117"/>
      <c r="O49" s="117"/>
      <c r="P49" s="117" t="s">
        <v>537</v>
      </c>
      <c r="Q49" s="117" t="s">
        <v>393</v>
      </c>
      <c r="R49" s="117" t="s">
        <v>538</v>
      </c>
      <c r="S49" s="117" t="s">
        <v>539</v>
      </c>
      <c r="T49" s="195"/>
      <c r="U49" s="196" t="s">
        <v>540</v>
      </c>
      <c r="V49" s="36"/>
      <c r="W49" s="199" t="s">
        <v>265</v>
      </c>
      <c r="X49" s="198"/>
      <c r="Y49" s="194" t="s">
        <v>314</v>
      </c>
      <c r="Z49" s="198"/>
      <c r="AA49" s="198"/>
      <c r="AB49" s="198"/>
      <c r="AC49" s="198"/>
      <c r="AD49" s="198"/>
      <c r="AE49" s="198"/>
      <c r="AF49" s="198"/>
      <c r="AG49" s="198" t="s">
        <v>313</v>
      </c>
      <c r="AH49" s="194"/>
      <c r="AI49" s="193">
        <v>2012</v>
      </c>
      <c r="AJ49" s="201" t="s">
        <v>483</v>
      </c>
      <c r="AK49" s="201"/>
      <c r="AL49" s="235">
        <v>1620.7</v>
      </c>
      <c r="AM49" s="198"/>
      <c r="AN49" s="237">
        <f t="shared" si="4"/>
        <v>179.40000000000009</v>
      </c>
      <c r="AO49" s="198"/>
      <c r="AP49" s="117">
        <v>3</v>
      </c>
      <c r="AQ49" s="236"/>
      <c r="AR49" s="40"/>
      <c r="AS49" s="40"/>
      <c r="AT49" s="40"/>
    </row>
    <row r="50" spans="1:51" ht="15" customHeight="1" x14ac:dyDescent="0.25">
      <c r="A50" s="2"/>
      <c r="B50" s="193">
        <v>2004</v>
      </c>
      <c r="C50" s="117" t="s">
        <v>36</v>
      </c>
      <c r="D50" s="194" t="s">
        <v>35</v>
      </c>
      <c r="E50" s="117"/>
      <c r="F50" s="117">
        <f t="shared" si="3"/>
        <v>24</v>
      </c>
      <c r="G50" s="117">
        <v>25</v>
      </c>
      <c r="H50" s="195">
        <v>1.64</v>
      </c>
      <c r="I50" s="195">
        <v>0.68</v>
      </c>
      <c r="J50" s="195">
        <v>2.3199999999999998</v>
      </c>
      <c r="K50" s="196">
        <v>4.76</v>
      </c>
      <c r="L50" s="36"/>
      <c r="M50" s="197" t="s">
        <v>277</v>
      </c>
      <c r="N50" s="117"/>
      <c r="O50" s="117"/>
      <c r="P50" s="117" t="s">
        <v>541</v>
      </c>
      <c r="Q50" s="117" t="s">
        <v>394</v>
      </c>
      <c r="R50" s="117" t="s">
        <v>542</v>
      </c>
      <c r="S50" s="117" t="s">
        <v>543</v>
      </c>
      <c r="T50" s="195"/>
      <c r="U50" s="196" t="s">
        <v>544</v>
      </c>
      <c r="V50" s="36"/>
      <c r="W50" s="199" t="s">
        <v>266</v>
      </c>
      <c r="X50" s="198"/>
      <c r="Y50" s="194" t="s">
        <v>456</v>
      </c>
      <c r="Z50" s="194"/>
      <c r="AA50" s="198"/>
      <c r="AB50" s="198"/>
      <c r="AC50" s="198"/>
      <c r="AD50" s="198"/>
      <c r="AE50" s="198"/>
      <c r="AF50" s="198"/>
      <c r="AG50" s="198" t="s">
        <v>455</v>
      </c>
      <c r="AH50" s="194"/>
      <c r="AI50" s="193">
        <v>2013</v>
      </c>
      <c r="AJ50" s="201" t="s">
        <v>225</v>
      </c>
      <c r="AK50" s="201"/>
      <c r="AL50" s="235">
        <v>1783</v>
      </c>
      <c r="AM50" s="198"/>
      <c r="AN50" s="237">
        <f t="shared" si="4"/>
        <v>162.29999999999995</v>
      </c>
      <c r="AO50" s="198"/>
      <c r="AP50" s="117"/>
      <c r="AQ50" s="236"/>
      <c r="AR50" s="40"/>
      <c r="AS50" s="40"/>
      <c r="AT50" s="40"/>
    </row>
    <row r="51" spans="1:51" ht="15" customHeight="1" x14ac:dyDescent="0.25">
      <c r="A51" s="2"/>
      <c r="B51" s="193">
        <v>2005</v>
      </c>
      <c r="C51" s="117" t="s">
        <v>36</v>
      </c>
      <c r="D51" s="194" t="s">
        <v>35</v>
      </c>
      <c r="E51" s="117"/>
      <c r="F51" s="117">
        <f t="shared" si="3"/>
        <v>25</v>
      </c>
      <c r="G51" s="117">
        <v>24</v>
      </c>
      <c r="H51" s="195">
        <v>1</v>
      </c>
      <c r="I51" s="195">
        <v>0.58333333333333337</v>
      </c>
      <c r="J51" s="195">
        <v>1.5833333333333333</v>
      </c>
      <c r="K51" s="196">
        <v>4.916666666666667</v>
      </c>
      <c r="L51" s="36"/>
      <c r="M51" s="197" t="s">
        <v>279</v>
      </c>
      <c r="N51" s="117"/>
      <c r="O51" s="117"/>
      <c r="P51" s="117" t="s">
        <v>545</v>
      </c>
      <c r="Q51" s="117" t="s">
        <v>395</v>
      </c>
      <c r="R51" s="117" t="s">
        <v>546</v>
      </c>
      <c r="S51" s="117" t="s">
        <v>547</v>
      </c>
      <c r="T51" s="195"/>
      <c r="U51" s="196" t="s">
        <v>548</v>
      </c>
      <c r="V51" s="36"/>
      <c r="W51" s="199"/>
      <c r="X51" s="198"/>
      <c r="Y51" s="198"/>
      <c r="Z51" s="194"/>
      <c r="AA51" s="194"/>
      <c r="AB51" s="194"/>
      <c r="AC51" s="198"/>
      <c r="AD51" s="194"/>
      <c r="AE51" s="194"/>
      <c r="AF51" s="194"/>
      <c r="AG51" s="198"/>
      <c r="AH51" s="194"/>
      <c r="AI51" s="193">
        <v>2014</v>
      </c>
      <c r="AJ51" s="201" t="s">
        <v>226</v>
      </c>
      <c r="AK51" s="201"/>
      <c r="AL51" s="235">
        <v>1971.7</v>
      </c>
      <c r="AM51" s="198"/>
      <c r="AN51" s="237">
        <f t="shared" si="4"/>
        <v>188.70000000000005</v>
      </c>
      <c r="AO51" s="198"/>
      <c r="AP51" s="117">
        <v>4</v>
      </c>
      <c r="AQ51" s="236"/>
      <c r="AR51" s="40"/>
      <c r="AS51" s="40"/>
      <c r="AT51" s="40"/>
    </row>
    <row r="52" spans="1:51" ht="15" customHeight="1" x14ac:dyDescent="0.25">
      <c r="A52" s="2"/>
      <c r="B52" s="193">
        <v>2006</v>
      </c>
      <c r="C52" s="117" t="s">
        <v>39</v>
      </c>
      <c r="D52" s="194" t="s">
        <v>35</v>
      </c>
      <c r="E52" s="117"/>
      <c r="F52" s="117">
        <f t="shared" si="3"/>
        <v>26</v>
      </c>
      <c r="G52" s="117">
        <v>27</v>
      </c>
      <c r="H52" s="195">
        <v>1.0740740740740742</v>
      </c>
      <c r="I52" s="195">
        <v>0.66666666666666663</v>
      </c>
      <c r="J52" s="195">
        <v>1.7407407407407407</v>
      </c>
      <c r="K52" s="196">
        <v>5.8888888888888893</v>
      </c>
      <c r="L52" s="36"/>
      <c r="M52" s="197" t="s">
        <v>281</v>
      </c>
      <c r="N52" s="117"/>
      <c r="O52" s="117"/>
      <c r="P52" s="117" t="s">
        <v>549</v>
      </c>
      <c r="Q52" s="117" t="s">
        <v>392</v>
      </c>
      <c r="R52" s="117" t="s">
        <v>550</v>
      </c>
      <c r="S52" s="117" t="s">
        <v>360</v>
      </c>
      <c r="T52" s="195"/>
      <c r="U52" s="196" t="s">
        <v>551</v>
      </c>
      <c r="V52" s="36"/>
      <c r="W52" s="197" t="s">
        <v>405</v>
      </c>
      <c r="X52" s="198"/>
      <c r="Y52" s="198"/>
      <c r="Z52" s="194"/>
      <c r="AA52" s="194"/>
      <c r="AB52" s="194"/>
      <c r="AC52" s="198"/>
      <c r="AD52" s="194"/>
      <c r="AE52" s="194"/>
      <c r="AF52" s="194"/>
      <c r="AG52" s="194"/>
      <c r="AH52" s="194"/>
      <c r="AI52" s="193">
        <v>2015</v>
      </c>
      <c r="AJ52" s="201" t="s">
        <v>222</v>
      </c>
      <c r="AK52" s="201"/>
      <c r="AL52" s="235">
        <v>2093.3000000000002</v>
      </c>
      <c r="AM52" s="198"/>
      <c r="AN52" s="237">
        <f t="shared" si="4"/>
        <v>121.60000000000014</v>
      </c>
      <c r="AO52" s="198"/>
      <c r="AP52" s="117"/>
      <c r="AQ52" s="236"/>
      <c r="AR52" s="40"/>
      <c r="AS52" s="40"/>
      <c r="AT52" s="40"/>
    </row>
    <row r="53" spans="1:51" ht="15" customHeight="1" x14ac:dyDescent="0.25">
      <c r="A53" s="2"/>
      <c r="B53" s="193">
        <v>2007</v>
      </c>
      <c r="C53" s="117" t="s">
        <v>40</v>
      </c>
      <c r="D53" s="194" t="s">
        <v>35</v>
      </c>
      <c r="E53" s="117"/>
      <c r="F53" s="117">
        <f t="shared" si="3"/>
        <v>27</v>
      </c>
      <c r="G53" s="117">
        <v>25</v>
      </c>
      <c r="H53" s="195">
        <v>1.2</v>
      </c>
      <c r="I53" s="195">
        <v>0.76</v>
      </c>
      <c r="J53" s="195">
        <v>1.96</v>
      </c>
      <c r="K53" s="196">
        <v>6.6</v>
      </c>
      <c r="L53" s="36"/>
      <c r="M53" s="197" t="s">
        <v>283</v>
      </c>
      <c r="N53" s="117"/>
      <c r="O53" s="117"/>
      <c r="P53" s="117" t="s">
        <v>552</v>
      </c>
      <c r="Q53" s="117" t="s">
        <v>258</v>
      </c>
      <c r="R53" s="117" t="s">
        <v>553</v>
      </c>
      <c r="S53" s="117" t="s">
        <v>396</v>
      </c>
      <c r="T53" s="195"/>
      <c r="U53" s="196" t="s">
        <v>366</v>
      </c>
      <c r="V53" s="36"/>
      <c r="W53" s="199" t="s">
        <v>408</v>
      </c>
      <c r="X53" s="198"/>
      <c r="Y53" s="198" t="s">
        <v>421</v>
      </c>
      <c r="Z53" s="198"/>
      <c r="AA53" s="198"/>
      <c r="AB53" s="198"/>
      <c r="AC53" s="198"/>
      <c r="AD53" s="198"/>
      <c r="AE53" s="198"/>
      <c r="AF53" s="198"/>
      <c r="AG53" s="194" t="s">
        <v>415</v>
      </c>
      <c r="AH53" s="195">
        <v>0.14285714285714285</v>
      </c>
      <c r="AI53" s="193">
        <v>2016</v>
      </c>
      <c r="AJ53" s="201" t="s">
        <v>41</v>
      </c>
      <c r="AK53" s="201"/>
      <c r="AL53" s="235">
        <v>2230.3000000000002</v>
      </c>
      <c r="AM53" s="198"/>
      <c r="AN53" s="237">
        <f t="shared" si="4"/>
        <v>137</v>
      </c>
      <c r="AO53" s="198"/>
      <c r="AP53" s="117">
        <v>5</v>
      </c>
      <c r="AQ53" s="236"/>
      <c r="AR53" s="40"/>
      <c r="AS53" s="40"/>
      <c r="AT53" s="40"/>
    </row>
    <row r="54" spans="1:51" ht="15" customHeight="1" x14ac:dyDescent="0.25">
      <c r="A54" s="2"/>
      <c r="B54" s="193">
        <v>2008</v>
      </c>
      <c r="C54" s="117" t="s">
        <v>39</v>
      </c>
      <c r="D54" s="194" t="s">
        <v>35</v>
      </c>
      <c r="E54" s="117"/>
      <c r="F54" s="117">
        <f t="shared" si="3"/>
        <v>28</v>
      </c>
      <c r="G54" s="117">
        <v>24</v>
      </c>
      <c r="H54" s="195">
        <v>0.58333333333333337</v>
      </c>
      <c r="I54" s="195">
        <v>0.375</v>
      </c>
      <c r="J54" s="195">
        <v>0.95833333333333337</v>
      </c>
      <c r="K54" s="196">
        <v>5.166666666666667</v>
      </c>
      <c r="L54" s="36"/>
      <c r="M54" s="197" t="s">
        <v>285</v>
      </c>
      <c r="N54" s="117"/>
      <c r="O54" s="117"/>
      <c r="P54" s="117" t="s">
        <v>554</v>
      </c>
      <c r="Q54" s="117" t="s">
        <v>217</v>
      </c>
      <c r="R54" s="117" t="s">
        <v>555</v>
      </c>
      <c r="S54" s="117" t="s">
        <v>398</v>
      </c>
      <c r="T54" s="195"/>
      <c r="U54" s="196" t="s">
        <v>344</v>
      </c>
      <c r="V54" s="36"/>
      <c r="W54" s="199" t="s">
        <v>409</v>
      </c>
      <c r="X54" s="198"/>
      <c r="Y54" s="198" t="s">
        <v>422</v>
      </c>
      <c r="Z54" s="198"/>
      <c r="AA54" s="198"/>
      <c r="AB54" s="198"/>
      <c r="AC54" s="198"/>
      <c r="AD54" s="198"/>
      <c r="AE54" s="198"/>
      <c r="AF54" s="198"/>
      <c r="AG54" s="194" t="s">
        <v>416</v>
      </c>
      <c r="AH54" s="195">
        <v>0.1079136690647482</v>
      </c>
      <c r="AI54" s="193">
        <v>2017</v>
      </c>
      <c r="AJ54" s="201" t="s">
        <v>182</v>
      </c>
      <c r="AK54" s="201"/>
      <c r="AL54" s="235">
        <v>2335.6999999999998</v>
      </c>
      <c r="AM54" s="198"/>
      <c r="AN54" s="237">
        <f t="shared" si="4"/>
        <v>105.39999999999964</v>
      </c>
      <c r="AO54" s="198"/>
      <c r="AP54" s="117"/>
      <c r="AQ54" s="236"/>
      <c r="AR54" s="40"/>
      <c r="AS54" s="40"/>
      <c r="AT54" s="40"/>
    </row>
    <row r="55" spans="1:51" ht="15" customHeight="1" x14ac:dyDescent="0.25">
      <c r="A55" s="2"/>
      <c r="B55" s="193">
        <v>2009</v>
      </c>
      <c r="C55" s="117" t="s">
        <v>41</v>
      </c>
      <c r="D55" s="194" t="s">
        <v>35</v>
      </c>
      <c r="E55" s="117"/>
      <c r="F55" s="117">
        <f t="shared" si="3"/>
        <v>29</v>
      </c>
      <c r="G55" s="117">
        <v>24</v>
      </c>
      <c r="H55" s="195">
        <v>0.75</v>
      </c>
      <c r="I55" s="195">
        <v>0.79166666666666663</v>
      </c>
      <c r="J55" s="195">
        <v>1.5416666666666667</v>
      </c>
      <c r="K55" s="196">
        <v>6.5</v>
      </c>
      <c r="L55" s="36"/>
      <c r="M55" s="197" t="s">
        <v>287</v>
      </c>
      <c r="N55" s="117"/>
      <c r="O55" s="117"/>
      <c r="P55" s="117" t="s">
        <v>556</v>
      </c>
      <c r="Q55" s="117" t="s">
        <v>217</v>
      </c>
      <c r="R55" s="117" t="s">
        <v>557</v>
      </c>
      <c r="S55" s="117" t="s">
        <v>397</v>
      </c>
      <c r="T55" s="195"/>
      <c r="U55" s="196" t="s">
        <v>400</v>
      </c>
      <c r="V55" s="36"/>
      <c r="W55" s="199" t="s">
        <v>410</v>
      </c>
      <c r="X55" s="198"/>
      <c r="Y55" s="198" t="s">
        <v>423</v>
      </c>
      <c r="Z55" s="198"/>
      <c r="AA55" s="198"/>
      <c r="AB55" s="198"/>
      <c r="AC55" s="198"/>
      <c r="AD55" s="198"/>
      <c r="AE55" s="198"/>
      <c r="AF55" s="198"/>
      <c r="AG55" s="194" t="s">
        <v>406</v>
      </c>
      <c r="AH55" s="195">
        <v>0.11976047904191617</v>
      </c>
      <c r="AI55" s="193">
        <v>2018</v>
      </c>
      <c r="AJ55" s="201" t="s">
        <v>41</v>
      </c>
      <c r="AK55" s="201"/>
      <c r="AL55" s="235">
        <v>2566.6999999999998</v>
      </c>
      <c r="AM55" s="198"/>
      <c r="AN55" s="237">
        <f t="shared" si="4"/>
        <v>231</v>
      </c>
      <c r="AO55" s="198"/>
      <c r="AP55" s="117">
        <v>6</v>
      </c>
      <c r="AQ55" s="236"/>
      <c r="AR55" s="40"/>
      <c r="AS55" s="40"/>
      <c r="AT55" s="40"/>
    </row>
    <row r="56" spans="1:51" ht="15" customHeight="1" x14ac:dyDescent="0.25">
      <c r="A56" s="2"/>
      <c r="B56" s="193">
        <v>2010</v>
      </c>
      <c r="C56" s="117" t="s">
        <v>38</v>
      </c>
      <c r="D56" s="194" t="s">
        <v>35</v>
      </c>
      <c r="E56" s="117"/>
      <c r="F56" s="117">
        <f t="shared" si="3"/>
        <v>30</v>
      </c>
      <c r="G56" s="117">
        <v>26</v>
      </c>
      <c r="H56" s="195">
        <v>0.53846153846153844</v>
      </c>
      <c r="I56" s="195">
        <v>0.73076923076923073</v>
      </c>
      <c r="J56" s="195">
        <v>1.2692307692307692</v>
      </c>
      <c r="K56" s="196">
        <v>6.115384615384615</v>
      </c>
      <c r="L56" s="36"/>
      <c r="M56" s="197" t="s">
        <v>289</v>
      </c>
      <c r="N56" s="117"/>
      <c r="O56" s="117"/>
      <c r="P56" s="117" t="s">
        <v>391</v>
      </c>
      <c r="Q56" s="117" t="s">
        <v>217</v>
      </c>
      <c r="R56" s="117" t="s">
        <v>558</v>
      </c>
      <c r="S56" s="117" t="s">
        <v>399</v>
      </c>
      <c r="T56" s="195"/>
      <c r="U56" s="196" t="s">
        <v>255</v>
      </c>
      <c r="V56" s="36"/>
      <c r="W56" s="199" t="s">
        <v>411</v>
      </c>
      <c r="X56" s="198"/>
      <c r="Y56" s="198" t="s">
        <v>424</v>
      </c>
      <c r="Z56" s="217"/>
      <c r="AA56" s="217"/>
      <c r="AB56" s="217"/>
      <c r="AC56" s="217"/>
      <c r="AD56" s="217"/>
      <c r="AE56" s="217"/>
      <c r="AF56" s="217"/>
      <c r="AG56" s="194" t="s">
        <v>417</v>
      </c>
      <c r="AH56" s="195">
        <v>0.13736263736263737</v>
      </c>
      <c r="AI56" s="193">
        <v>2019</v>
      </c>
      <c r="AJ56" s="201" t="s">
        <v>57</v>
      </c>
      <c r="AK56" s="201"/>
      <c r="AL56" s="235">
        <v>2723.7</v>
      </c>
      <c r="AM56" s="198"/>
      <c r="AN56" s="237">
        <f t="shared" si="4"/>
        <v>157</v>
      </c>
      <c r="AO56" s="198"/>
      <c r="AP56" s="117"/>
      <c r="AQ56" s="236"/>
      <c r="AR56" s="40"/>
      <c r="AS56" s="40"/>
      <c r="AT56" s="40"/>
    </row>
    <row r="57" spans="1:51" ht="15" customHeight="1" x14ac:dyDescent="0.25">
      <c r="A57" s="2"/>
      <c r="B57" s="193">
        <v>2011</v>
      </c>
      <c r="C57" s="117" t="s">
        <v>39</v>
      </c>
      <c r="D57" s="194" t="s">
        <v>35</v>
      </c>
      <c r="E57" s="117"/>
      <c r="F57" s="117">
        <f t="shared" si="3"/>
        <v>31</v>
      </c>
      <c r="G57" s="117">
        <v>26</v>
      </c>
      <c r="H57" s="195">
        <v>2.1153846153846154</v>
      </c>
      <c r="I57" s="195">
        <v>0.84615384615384615</v>
      </c>
      <c r="J57" s="195">
        <v>2.9615384615384617</v>
      </c>
      <c r="K57" s="196">
        <v>5.8461538461538458</v>
      </c>
      <c r="L57" s="36"/>
      <c r="M57" s="197" t="s">
        <v>291</v>
      </c>
      <c r="N57" s="117"/>
      <c r="O57" s="117"/>
      <c r="P57" s="117" t="s">
        <v>358</v>
      </c>
      <c r="Q57" s="117" t="s">
        <v>342</v>
      </c>
      <c r="R57" s="117" t="s">
        <v>559</v>
      </c>
      <c r="S57" s="117" t="s">
        <v>352</v>
      </c>
      <c r="T57" s="195"/>
      <c r="U57" s="196" t="s">
        <v>258</v>
      </c>
      <c r="V57" s="36"/>
      <c r="W57" s="199" t="s">
        <v>412</v>
      </c>
      <c r="X57" s="198"/>
      <c r="Y57" s="198" t="s">
        <v>425</v>
      </c>
      <c r="Z57" s="217"/>
      <c r="AA57" s="217"/>
      <c r="AB57" s="217"/>
      <c r="AC57" s="217"/>
      <c r="AD57" s="217"/>
      <c r="AE57" s="217"/>
      <c r="AF57" s="217"/>
      <c r="AG57" s="194" t="s">
        <v>418</v>
      </c>
      <c r="AH57" s="195">
        <v>0.14705882352941177</v>
      </c>
      <c r="AI57" s="193">
        <v>2020</v>
      </c>
      <c r="AJ57" s="117" t="s">
        <v>38</v>
      </c>
      <c r="AK57" s="117"/>
      <c r="AL57" s="235">
        <v>2808.7</v>
      </c>
      <c r="AM57" s="198"/>
      <c r="AN57" s="237">
        <f t="shared" si="4"/>
        <v>85</v>
      </c>
      <c r="AO57" s="198"/>
      <c r="AP57" s="117">
        <v>7</v>
      </c>
      <c r="AQ57" s="236"/>
      <c r="AR57" s="40"/>
      <c r="AS57" s="40"/>
      <c r="AT57" s="40"/>
    </row>
    <row r="58" spans="1:51" ht="15" customHeight="1" x14ac:dyDescent="0.25">
      <c r="A58" s="2"/>
      <c r="B58" s="193">
        <v>2012</v>
      </c>
      <c r="C58" s="117" t="s">
        <v>57</v>
      </c>
      <c r="D58" s="194" t="s">
        <v>35</v>
      </c>
      <c r="E58" s="117"/>
      <c r="F58" s="117">
        <f t="shared" si="3"/>
        <v>32</v>
      </c>
      <c r="G58" s="117">
        <v>26</v>
      </c>
      <c r="H58" s="195">
        <v>2.7307692307692308</v>
      </c>
      <c r="I58" s="195">
        <v>1.0384615384615385</v>
      </c>
      <c r="J58" s="195">
        <v>3.7692307692307692</v>
      </c>
      <c r="K58" s="227">
        <v>8.2307692307692299</v>
      </c>
      <c r="L58" s="36"/>
      <c r="M58" s="197" t="s">
        <v>293</v>
      </c>
      <c r="N58" s="117"/>
      <c r="O58" s="117"/>
      <c r="P58" s="117" t="s">
        <v>367</v>
      </c>
      <c r="Q58" s="117" t="s">
        <v>226</v>
      </c>
      <c r="R58" s="117" t="s">
        <v>560</v>
      </c>
      <c r="S58" s="117" t="s">
        <v>229</v>
      </c>
      <c r="T58" s="195"/>
      <c r="U58" s="196" t="s">
        <v>219</v>
      </c>
      <c r="V58" s="36"/>
      <c r="W58" s="199" t="s">
        <v>413</v>
      </c>
      <c r="X58" s="198"/>
      <c r="Y58" s="198" t="s">
        <v>426</v>
      </c>
      <c r="Z58" s="198"/>
      <c r="AA58" s="198"/>
      <c r="AB58" s="198"/>
      <c r="AC58" s="198"/>
      <c r="AD58" s="198"/>
      <c r="AE58" s="198"/>
      <c r="AF58" s="198"/>
      <c r="AG58" s="194" t="s">
        <v>419</v>
      </c>
      <c r="AH58" s="195">
        <v>0.15151515151515152</v>
      </c>
      <c r="AI58" s="193">
        <v>2021</v>
      </c>
      <c r="AJ58" s="117" t="s">
        <v>38</v>
      </c>
      <c r="AK58" s="117"/>
      <c r="AL58" s="235">
        <v>2922.7</v>
      </c>
      <c r="AM58" s="198"/>
      <c r="AN58" s="237">
        <f t="shared" si="4"/>
        <v>114</v>
      </c>
      <c r="AO58" s="198"/>
      <c r="AP58" s="198"/>
      <c r="AQ58" s="236"/>
      <c r="AR58" s="40"/>
      <c r="AS58" s="40"/>
      <c r="AT58" s="40"/>
    </row>
    <row r="59" spans="1:51" ht="15" customHeight="1" x14ac:dyDescent="0.25">
      <c r="A59" s="2"/>
      <c r="B59" s="193">
        <v>2013</v>
      </c>
      <c r="C59" s="117" t="s">
        <v>38</v>
      </c>
      <c r="D59" s="194" t="s">
        <v>35</v>
      </c>
      <c r="E59" s="117"/>
      <c r="F59" s="117">
        <f t="shared" si="3"/>
        <v>33</v>
      </c>
      <c r="G59" s="117">
        <v>26</v>
      </c>
      <c r="H59" s="195">
        <v>1.7692307692307692</v>
      </c>
      <c r="I59" s="226">
        <v>1.3461538461538463</v>
      </c>
      <c r="J59" s="195">
        <v>3.1153846153846154</v>
      </c>
      <c r="K59" s="196">
        <v>7.2692307692307692</v>
      </c>
      <c r="L59" s="36"/>
      <c r="M59" s="197" t="s">
        <v>295</v>
      </c>
      <c r="N59" s="117"/>
      <c r="O59" s="117"/>
      <c r="P59" s="117" t="s">
        <v>392</v>
      </c>
      <c r="Q59" s="117" t="s">
        <v>230</v>
      </c>
      <c r="R59" s="117" t="s">
        <v>396</v>
      </c>
      <c r="S59" s="117" t="s">
        <v>228</v>
      </c>
      <c r="T59" s="195"/>
      <c r="U59" s="196" t="s">
        <v>226</v>
      </c>
      <c r="V59" s="36"/>
      <c r="W59" s="199" t="s">
        <v>414</v>
      </c>
      <c r="X59" s="198"/>
      <c r="Y59" s="198" t="s">
        <v>427</v>
      </c>
      <c r="Z59" s="198"/>
      <c r="AA59" s="198"/>
      <c r="AB59" s="198"/>
      <c r="AC59" s="198"/>
      <c r="AD59" s="198"/>
      <c r="AE59" s="198"/>
      <c r="AF59" s="198"/>
      <c r="AG59" s="194" t="s">
        <v>420</v>
      </c>
      <c r="AH59" s="195">
        <v>0.15122873345935728</v>
      </c>
      <c r="AI59" s="193">
        <v>2022</v>
      </c>
      <c r="AJ59" s="117" t="s">
        <v>38</v>
      </c>
      <c r="AK59" s="117"/>
      <c r="AL59" s="235">
        <v>3006</v>
      </c>
      <c r="AM59" s="198"/>
      <c r="AN59" s="237">
        <f t="shared" ref="AN59" si="5">PRODUCT(AL59-AL58)</f>
        <v>83.300000000000182</v>
      </c>
      <c r="AO59" s="194"/>
      <c r="AP59" s="117"/>
      <c r="AQ59" s="205"/>
      <c r="AR59" s="40"/>
      <c r="AS59" s="40"/>
      <c r="AT59" s="40"/>
    </row>
    <row r="60" spans="1:51" ht="15" customHeight="1" x14ac:dyDescent="0.25">
      <c r="A60" s="2"/>
      <c r="B60" s="193">
        <v>2014</v>
      </c>
      <c r="C60" s="117" t="s">
        <v>36</v>
      </c>
      <c r="D60" s="194" t="s">
        <v>35</v>
      </c>
      <c r="E60" s="117"/>
      <c r="F60" s="117">
        <f t="shared" si="3"/>
        <v>34</v>
      </c>
      <c r="G60" s="117">
        <v>30</v>
      </c>
      <c r="H60" s="195">
        <v>3.0333333333333332</v>
      </c>
      <c r="I60" s="195">
        <v>0.76666666666666672</v>
      </c>
      <c r="J60" s="195">
        <v>3.8</v>
      </c>
      <c r="K60" s="196">
        <v>7</v>
      </c>
      <c r="L60" s="36"/>
      <c r="M60" s="197" t="s">
        <v>297</v>
      </c>
      <c r="N60" s="117"/>
      <c r="O60" s="117"/>
      <c r="P60" s="117" t="s">
        <v>225</v>
      </c>
      <c r="Q60" s="117" t="s">
        <v>41</v>
      </c>
      <c r="R60" s="117" t="s">
        <v>561</v>
      </c>
      <c r="S60" s="117" t="s">
        <v>182</v>
      </c>
      <c r="T60" s="195"/>
      <c r="U60" s="196" t="s">
        <v>41</v>
      </c>
      <c r="V60" s="36"/>
      <c r="W60" s="199" t="s">
        <v>457</v>
      </c>
      <c r="X60" s="198"/>
      <c r="Y60" s="198" t="s">
        <v>458</v>
      </c>
      <c r="Z60" s="198"/>
      <c r="AA60" s="198"/>
      <c r="AB60" s="198"/>
      <c r="AC60" s="198"/>
      <c r="AD60" s="198"/>
      <c r="AE60" s="198"/>
      <c r="AF60" s="198"/>
      <c r="AG60" s="194" t="s">
        <v>445</v>
      </c>
      <c r="AH60" s="195">
        <v>0.16</v>
      </c>
      <c r="AI60" s="193">
        <v>2023</v>
      </c>
      <c r="AJ60" s="117" t="s">
        <v>38</v>
      </c>
      <c r="AK60" s="117"/>
      <c r="AL60" s="235">
        <v>3090.3</v>
      </c>
      <c r="AM60" s="198"/>
      <c r="AN60" s="237">
        <f t="shared" ref="AN60" si="6">PRODUCT(AL60-AL59)</f>
        <v>84.300000000000182</v>
      </c>
      <c r="AO60" s="194"/>
      <c r="AP60" s="117"/>
      <c r="AQ60" s="205"/>
      <c r="AR60" s="40"/>
      <c r="AS60" s="40"/>
      <c r="AT60" s="40"/>
    </row>
    <row r="61" spans="1:51" ht="15" customHeight="1" x14ac:dyDescent="0.25">
      <c r="A61" s="2"/>
      <c r="B61" s="193">
        <v>2015</v>
      </c>
      <c r="C61" s="117" t="s">
        <v>39</v>
      </c>
      <c r="D61" s="194" t="s">
        <v>35</v>
      </c>
      <c r="E61" s="117"/>
      <c r="F61" s="117">
        <f t="shared" si="3"/>
        <v>35</v>
      </c>
      <c r="G61" s="117">
        <v>28</v>
      </c>
      <c r="H61" s="195">
        <v>1.5</v>
      </c>
      <c r="I61" s="195">
        <v>0.35714285714285715</v>
      </c>
      <c r="J61" s="195">
        <v>1.8571428571428572</v>
      </c>
      <c r="K61" s="196">
        <v>5.2857142857142856</v>
      </c>
      <c r="L61" s="36"/>
      <c r="M61" s="197" t="s">
        <v>299</v>
      </c>
      <c r="N61" s="117"/>
      <c r="O61" s="117"/>
      <c r="P61" s="117" t="s">
        <v>232</v>
      </c>
      <c r="Q61" s="117" t="s">
        <v>41</v>
      </c>
      <c r="R61" s="117" t="s">
        <v>562</v>
      </c>
      <c r="S61" s="117" t="s">
        <v>182</v>
      </c>
      <c r="T61" s="195"/>
      <c r="U61" s="196" t="s">
        <v>38</v>
      </c>
      <c r="V61" s="36"/>
      <c r="W61" s="199" t="s">
        <v>267</v>
      </c>
      <c r="X61" s="198"/>
      <c r="Y61" s="198" t="s">
        <v>497</v>
      </c>
      <c r="Z61" s="198"/>
      <c r="AA61" s="198"/>
      <c r="AB61" s="198"/>
      <c r="AC61" s="198"/>
      <c r="AD61" s="198"/>
      <c r="AE61" s="198"/>
      <c r="AF61" s="198"/>
      <c r="AG61" s="194" t="s">
        <v>498</v>
      </c>
      <c r="AH61" s="195">
        <f>PRODUCT(100/624)</f>
        <v>0.16025641025641027</v>
      </c>
      <c r="AI61" s="206"/>
      <c r="AJ61" s="207"/>
      <c r="AK61" s="207"/>
      <c r="AL61" s="202"/>
      <c r="AM61" s="233"/>
      <c r="AN61" s="202"/>
      <c r="AO61" s="207"/>
      <c r="AP61" s="202"/>
      <c r="AQ61" s="210"/>
      <c r="AR61" s="40"/>
      <c r="AS61" s="40"/>
      <c r="AT61" s="40"/>
      <c r="AW61" s="40"/>
      <c r="AX61" s="40"/>
      <c r="AY61" s="40"/>
    </row>
    <row r="62" spans="1:51" ht="15" customHeight="1" x14ac:dyDescent="0.25">
      <c r="A62" s="2"/>
      <c r="B62" s="193">
        <v>2016</v>
      </c>
      <c r="C62" s="117" t="s">
        <v>39</v>
      </c>
      <c r="D62" s="194" t="s">
        <v>35</v>
      </c>
      <c r="E62" s="117"/>
      <c r="F62" s="117">
        <f t="shared" si="3"/>
        <v>36</v>
      </c>
      <c r="G62" s="117">
        <v>27</v>
      </c>
      <c r="H62" s="195">
        <v>2.9629629629629628</v>
      </c>
      <c r="I62" s="195">
        <v>0.7407407407407407</v>
      </c>
      <c r="J62" s="195">
        <v>3.7037037037037037</v>
      </c>
      <c r="K62" s="196">
        <v>6.0740740740740744</v>
      </c>
      <c r="L62" s="36"/>
      <c r="M62" s="197" t="s">
        <v>301</v>
      </c>
      <c r="N62" s="117"/>
      <c r="O62" s="117"/>
      <c r="P62" s="117" t="s">
        <v>350</v>
      </c>
      <c r="Q62" s="117" t="s">
        <v>39</v>
      </c>
      <c r="R62" s="117" t="s">
        <v>563</v>
      </c>
      <c r="S62" s="117" t="s">
        <v>38</v>
      </c>
      <c r="T62" s="195"/>
      <c r="U62" s="196" t="s">
        <v>38</v>
      </c>
      <c r="V62" s="36"/>
      <c r="W62" s="199"/>
      <c r="X62" s="198"/>
      <c r="Y62" s="198"/>
      <c r="Z62" s="194"/>
      <c r="AA62" s="194"/>
      <c r="AB62" s="194"/>
      <c r="AC62" s="198"/>
      <c r="AD62" s="194"/>
      <c r="AE62" s="194"/>
      <c r="AF62" s="194"/>
      <c r="AG62" s="198"/>
      <c r="AH62" s="194"/>
      <c r="AI62" s="191" t="s">
        <v>576</v>
      </c>
      <c r="AJ62" s="66"/>
      <c r="AK62" s="67"/>
      <c r="AL62" s="66"/>
      <c r="AM62" s="66"/>
      <c r="AN62" s="66"/>
      <c r="AO62" s="67"/>
      <c r="AP62" s="67"/>
      <c r="AQ62" s="130"/>
      <c r="AR62" s="40"/>
      <c r="AS62" s="40"/>
      <c r="AT62" s="40"/>
    </row>
    <row r="63" spans="1:51" ht="15" customHeight="1" x14ac:dyDescent="0.25">
      <c r="A63" s="2"/>
      <c r="B63" s="193">
        <v>2017</v>
      </c>
      <c r="C63" s="117" t="s">
        <v>36</v>
      </c>
      <c r="D63" s="194" t="s">
        <v>212</v>
      </c>
      <c r="E63" s="117"/>
      <c r="F63" s="117">
        <f t="shared" si="3"/>
        <v>37</v>
      </c>
      <c r="G63" s="117">
        <v>32</v>
      </c>
      <c r="H63" s="195">
        <v>2.40625</v>
      </c>
      <c r="I63" s="195">
        <v>0.125</v>
      </c>
      <c r="J63" s="195">
        <v>2.53125</v>
      </c>
      <c r="K63" s="196">
        <v>3.6875</v>
      </c>
      <c r="L63" s="36"/>
      <c r="M63" s="197" t="s">
        <v>303</v>
      </c>
      <c r="N63" s="117"/>
      <c r="O63" s="117"/>
      <c r="P63" s="117" t="s">
        <v>182</v>
      </c>
      <c r="Q63" s="117" t="s">
        <v>57</v>
      </c>
      <c r="R63" s="117" t="s">
        <v>397</v>
      </c>
      <c r="S63" s="117" t="s">
        <v>57</v>
      </c>
      <c r="T63" s="195"/>
      <c r="U63" s="196" t="s">
        <v>36</v>
      </c>
      <c r="V63" s="36"/>
      <c r="W63" s="199" t="s">
        <v>263</v>
      </c>
      <c r="X63" s="198"/>
      <c r="Y63" s="198"/>
      <c r="Z63" s="194"/>
      <c r="AA63" s="194"/>
      <c r="AB63" s="194"/>
      <c r="AC63" s="198"/>
      <c r="AD63" s="194"/>
      <c r="AE63" s="194"/>
      <c r="AF63" s="194"/>
      <c r="AG63" s="198"/>
      <c r="AH63" s="194"/>
      <c r="AI63" s="193">
        <v>4638</v>
      </c>
      <c r="AJ63" s="198" t="s">
        <v>441</v>
      </c>
      <c r="AK63" s="194"/>
      <c r="AL63" s="117"/>
      <c r="AM63" s="117"/>
      <c r="AN63" s="117"/>
      <c r="AO63" s="117"/>
      <c r="AP63" s="117"/>
      <c r="AQ63" s="205"/>
      <c r="AR63" s="40"/>
      <c r="AS63" s="40"/>
      <c r="AT63" s="40"/>
    </row>
    <row r="64" spans="1:51" ht="15" customHeight="1" x14ac:dyDescent="0.25">
      <c r="A64" s="2"/>
      <c r="B64" s="193">
        <v>2018</v>
      </c>
      <c r="C64" s="117" t="s">
        <v>34</v>
      </c>
      <c r="D64" s="194" t="s">
        <v>212</v>
      </c>
      <c r="E64" s="117"/>
      <c r="F64" s="117">
        <f t="shared" si="3"/>
        <v>38</v>
      </c>
      <c r="G64" s="117">
        <v>32</v>
      </c>
      <c r="H64" s="226">
        <v>4.09375</v>
      </c>
      <c r="I64" s="195">
        <v>0.71875</v>
      </c>
      <c r="J64" s="226">
        <v>4.8125</v>
      </c>
      <c r="K64" s="196">
        <v>6.09375</v>
      </c>
      <c r="L64" s="36"/>
      <c r="M64" s="197" t="s">
        <v>305</v>
      </c>
      <c r="N64" s="117"/>
      <c r="O64" s="117"/>
      <c r="P64" s="117" t="s">
        <v>57</v>
      </c>
      <c r="Q64" s="117" t="s">
        <v>38</v>
      </c>
      <c r="R64" s="117" t="s">
        <v>356</v>
      </c>
      <c r="S64" s="117" t="s">
        <v>36</v>
      </c>
      <c r="T64" s="195"/>
      <c r="U64" s="196" t="s">
        <v>37</v>
      </c>
      <c r="V64" s="36"/>
      <c r="W64" s="199" t="s">
        <v>268</v>
      </c>
      <c r="X64" s="194"/>
      <c r="Y64" s="198" t="s">
        <v>429</v>
      </c>
      <c r="Z64" s="198"/>
      <c r="AA64" s="198"/>
      <c r="AB64" s="198"/>
      <c r="AC64" s="198"/>
      <c r="AD64" s="198"/>
      <c r="AE64" s="198"/>
      <c r="AF64" s="198"/>
      <c r="AG64" s="194" t="s">
        <v>428</v>
      </c>
      <c r="AH64" s="195">
        <v>1.4705882352941178</v>
      </c>
      <c r="AI64" s="193"/>
      <c r="AJ64" s="117"/>
      <c r="AK64" s="194"/>
      <c r="AL64" s="117"/>
      <c r="AM64" s="117"/>
      <c r="AN64" s="117"/>
      <c r="AO64" s="117"/>
      <c r="AP64" s="117"/>
      <c r="AQ64" s="205"/>
      <c r="AR64" s="40"/>
      <c r="AS64" s="40"/>
      <c r="AT64" s="40"/>
      <c r="AX64" s="69"/>
      <c r="AY64" s="69"/>
    </row>
    <row r="65" spans="1:51" ht="15" customHeight="1" x14ac:dyDescent="0.25">
      <c r="A65" s="2"/>
      <c r="B65" s="193">
        <v>2019</v>
      </c>
      <c r="C65" s="117" t="s">
        <v>38</v>
      </c>
      <c r="D65" s="194" t="s">
        <v>35</v>
      </c>
      <c r="E65" s="117"/>
      <c r="F65" s="117">
        <f t="shared" si="3"/>
        <v>39</v>
      </c>
      <c r="G65" s="117">
        <v>30</v>
      </c>
      <c r="H65" s="195">
        <v>3.7</v>
      </c>
      <c r="I65" s="195">
        <v>0.56666666666666665</v>
      </c>
      <c r="J65" s="195">
        <v>4.2666666666666666</v>
      </c>
      <c r="K65" s="196">
        <v>5.6</v>
      </c>
      <c r="L65" s="36"/>
      <c r="M65" s="197" t="s">
        <v>307</v>
      </c>
      <c r="N65" s="117"/>
      <c r="O65" s="117"/>
      <c r="P65" s="117" t="s">
        <v>36</v>
      </c>
      <c r="Q65" s="117" t="s">
        <v>36</v>
      </c>
      <c r="R65" s="117" t="s">
        <v>255</v>
      </c>
      <c r="S65" s="117" t="s">
        <v>37</v>
      </c>
      <c r="T65" s="226"/>
      <c r="U65" s="227" t="s">
        <v>40</v>
      </c>
      <c r="V65" s="36"/>
      <c r="W65" s="199" t="s">
        <v>261</v>
      </c>
      <c r="X65" s="194"/>
      <c r="Y65" s="198" t="s">
        <v>326</v>
      </c>
      <c r="Z65" s="194"/>
      <c r="AA65" s="194"/>
      <c r="AB65" s="194"/>
      <c r="AC65" s="198"/>
      <c r="AD65" s="194"/>
      <c r="AE65" s="194"/>
      <c r="AF65" s="194"/>
      <c r="AG65" s="194" t="s">
        <v>319</v>
      </c>
      <c r="AH65" s="195">
        <f>PRODUCT(300/218)</f>
        <v>1.3761467889908257</v>
      </c>
      <c r="AI65" s="191" t="s">
        <v>577</v>
      </c>
      <c r="AJ65" s="66"/>
      <c r="AK65" s="67"/>
      <c r="AL65" s="66"/>
      <c r="AM65" s="66"/>
      <c r="AN65" s="66"/>
      <c r="AO65" s="67"/>
      <c r="AP65" s="67"/>
      <c r="AQ65" s="130"/>
      <c r="AR65" s="40"/>
      <c r="AS65" s="40"/>
      <c r="AT65" s="40"/>
    </row>
    <row r="66" spans="1:51" ht="15" customHeight="1" x14ac:dyDescent="0.25">
      <c r="A66" s="2"/>
      <c r="B66" s="193">
        <v>2020</v>
      </c>
      <c r="C66" s="117" t="s">
        <v>57</v>
      </c>
      <c r="D66" s="194" t="s">
        <v>35</v>
      </c>
      <c r="E66" s="117"/>
      <c r="F66" s="117">
        <f t="shared" si="3"/>
        <v>40</v>
      </c>
      <c r="G66" s="117">
        <v>20</v>
      </c>
      <c r="H66" s="195">
        <f>PRODUCT(59/20)</f>
        <v>2.95</v>
      </c>
      <c r="I66" s="195">
        <f>PRODUCT(9/20)</f>
        <v>0.45</v>
      </c>
      <c r="J66" s="195">
        <f>PRODUCT(68/20)</f>
        <v>3.4</v>
      </c>
      <c r="K66" s="196">
        <f>PRODUCT(90/20)</f>
        <v>4.5</v>
      </c>
      <c r="L66" s="36"/>
      <c r="M66" s="197" t="s">
        <v>444</v>
      </c>
      <c r="N66" s="117"/>
      <c r="O66" s="117"/>
      <c r="P66" s="117" t="s">
        <v>36</v>
      </c>
      <c r="Q66" s="117" t="s">
        <v>36</v>
      </c>
      <c r="R66" s="117" t="s">
        <v>357</v>
      </c>
      <c r="S66" s="117" t="s">
        <v>37</v>
      </c>
      <c r="T66" s="195"/>
      <c r="U66" s="196" t="s">
        <v>40</v>
      </c>
      <c r="V66" s="36"/>
      <c r="W66" s="199" t="s">
        <v>262</v>
      </c>
      <c r="X66" s="194"/>
      <c r="Y66" s="198" t="s">
        <v>321</v>
      </c>
      <c r="Z66" s="194"/>
      <c r="AA66" s="194"/>
      <c r="AB66" s="194"/>
      <c r="AC66" s="198"/>
      <c r="AD66" s="194"/>
      <c r="AE66" s="194"/>
      <c r="AF66" s="194"/>
      <c r="AG66" s="194" t="s">
        <v>320</v>
      </c>
      <c r="AH66" s="195">
        <f>PRODUCT(400/326)</f>
        <v>1.2269938650306749</v>
      </c>
      <c r="AI66" s="193">
        <v>4572</v>
      </c>
      <c r="AJ66" s="198" t="s">
        <v>442</v>
      </c>
      <c r="AK66" s="194"/>
      <c r="AL66" s="117"/>
      <c r="AM66" s="117"/>
      <c r="AN66" s="117"/>
      <c r="AO66" s="117"/>
      <c r="AP66" s="117"/>
      <c r="AQ66" s="205"/>
      <c r="AR66" s="40"/>
      <c r="AS66" s="40"/>
      <c r="AT66" s="40"/>
    </row>
    <row r="67" spans="1:51" ht="15" customHeight="1" x14ac:dyDescent="0.25">
      <c r="A67" s="2"/>
      <c r="B67" s="193">
        <v>2021</v>
      </c>
      <c r="C67" s="117" t="s">
        <v>182</v>
      </c>
      <c r="D67" s="194" t="s">
        <v>35</v>
      </c>
      <c r="E67" s="117"/>
      <c r="F67" s="117">
        <v>41</v>
      </c>
      <c r="G67" s="117">
        <v>27</v>
      </c>
      <c r="H67" s="195">
        <f>PRODUCT(77/27)</f>
        <v>2.8518518518518516</v>
      </c>
      <c r="I67" s="195">
        <f>PRODUCT(14/27)</f>
        <v>0.51851851851851849</v>
      </c>
      <c r="J67" s="195">
        <f>PRODUCT(91/27)</f>
        <v>3.3703703703703702</v>
      </c>
      <c r="K67" s="196">
        <f>PRODUCT(119/27)</f>
        <v>4.4074074074074074</v>
      </c>
      <c r="L67" s="36"/>
      <c r="M67" s="197" t="s">
        <v>454</v>
      </c>
      <c r="N67" s="117"/>
      <c r="O67" s="117"/>
      <c r="P67" s="6" t="s">
        <v>37</v>
      </c>
      <c r="Q67" s="117" t="s">
        <v>36</v>
      </c>
      <c r="R67" s="117" t="s">
        <v>364</v>
      </c>
      <c r="S67" s="6" t="s">
        <v>34</v>
      </c>
      <c r="T67" s="195"/>
      <c r="U67" s="196" t="s">
        <v>40</v>
      </c>
      <c r="V67" s="36"/>
      <c r="W67" s="199" t="s">
        <v>265</v>
      </c>
      <c r="X67" s="194"/>
      <c r="Y67" s="198" t="s">
        <v>323</v>
      </c>
      <c r="Z67" s="194"/>
      <c r="AA67" s="194"/>
      <c r="AB67" s="194"/>
      <c r="AC67" s="198"/>
      <c r="AD67" s="194"/>
      <c r="AE67" s="194"/>
      <c r="AF67" s="194"/>
      <c r="AG67" s="194" t="s">
        <v>322</v>
      </c>
      <c r="AH67" s="195">
        <f>PRODUCT(500/356)</f>
        <v>1.404494382022472</v>
      </c>
      <c r="AI67" s="238"/>
      <c r="AJ67" s="194"/>
      <c r="AK67" s="117"/>
      <c r="AL67" s="117"/>
      <c r="AM67" s="117"/>
      <c r="AN67" s="117"/>
      <c r="AO67" s="117"/>
      <c r="AP67" s="117"/>
      <c r="AQ67" s="205"/>
      <c r="AR67" s="40"/>
      <c r="AS67" s="40"/>
      <c r="AT67" s="40"/>
    </row>
    <row r="68" spans="1:51" ht="15" customHeight="1" x14ac:dyDescent="0.25">
      <c r="A68" s="2"/>
      <c r="B68" s="193">
        <v>2022</v>
      </c>
      <c r="C68" s="117" t="s">
        <v>36</v>
      </c>
      <c r="D68" s="194" t="s">
        <v>35</v>
      </c>
      <c r="E68" s="117"/>
      <c r="F68" s="117">
        <v>42</v>
      </c>
      <c r="G68" s="117">
        <v>28</v>
      </c>
      <c r="H68" s="195">
        <f>PRODUCT(49/28)</f>
        <v>1.75</v>
      </c>
      <c r="I68" s="195">
        <f>PRODUCT(8/28)</f>
        <v>0.2857142857142857</v>
      </c>
      <c r="J68" s="195">
        <f>PRODUCT(57/28)</f>
        <v>2.0357142857142856</v>
      </c>
      <c r="K68" s="196">
        <f>PRODUCT(100/28)</f>
        <v>3.5714285714285716</v>
      </c>
      <c r="L68" s="36"/>
      <c r="M68" s="197" t="s">
        <v>495</v>
      </c>
      <c r="N68" s="117"/>
      <c r="O68" s="117"/>
      <c r="P68" s="117" t="s">
        <v>37</v>
      </c>
      <c r="Q68" s="6" t="s">
        <v>37</v>
      </c>
      <c r="R68" s="6" t="s">
        <v>392</v>
      </c>
      <c r="S68" s="117" t="s">
        <v>34</v>
      </c>
      <c r="T68" s="195"/>
      <c r="U68" s="196" t="s">
        <v>34</v>
      </c>
      <c r="V68" s="36"/>
      <c r="W68" s="199" t="s">
        <v>266</v>
      </c>
      <c r="X68" s="194"/>
      <c r="Y68" s="198" t="s">
        <v>325</v>
      </c>
      <c r="Z68" s="194"/>
      <c r="AA68" s="194"/>
      <c r="AB68" s="194"/>
      <c r="AC68" s="198"/>
      <c r="AD68" s="194"/>
      <c r="AE68" s="194"/>
      <c r="AF68" s="194"/>
      <c r="AG68" s="194" t="s">
        <v>324</v>
      </c>
      <c r="AH68" s="195">
        <f>PRODUCT(600/411)</f>
        <v>1.4598540145985401</v>
      </c>
      <c r="AI68" s="191" t="s">
        <v>578</v>
      </c>
      <c r="AJ68" s="68"/>
      <c r="AK68" s="66"/>
      <c r="AL68" s="66"/>
      <c r="AM68" s="66"/>
      <c r="AN68" s="66"/>
      <c r="AO68" s="231"/>
      <c r="AP68" s="67"/>
      <c r="AQ68" s="192"/>
      <c r="AR68" s="40"/>
      <c r="AS68" s="40"/>
      <c r="AT68" s="40"/>
    </row>
    <row r="69" spans="1:51" ht="15" customHeight="1" x14ac:dyDescent="0.25">
      <c r="A69" s="2"/>
      <c r="B69" s="193">
        <v>2023</v>
      </c>
      <c r="C69" s="117" t="s">
        <v>182</v>
      </c>
      <c r="D69" s="194" t="s">
        <v>35</v>
      </c>
      <c r="E69" s="117"/>
      <c r="F69" s="117">
        <v>43</v>
      </c>
      <c r="G69" s="117">
        <v>28</v>
      </c>
      <c r="H69" s="195">
        <f>PRODUCT(42/28)</f>
        <v>1.5</v>
      </c>
      <c r="I69" s="195">
        <f>PRODUCT(8/28)</f>
        <v>0.2857142857142857</v>
      </c>
      <c r="J69" s="195">
        <f>PRODUCT(50/28)</f>
        <v>1.7857142857142858</v>
      </c>
      <c r="K69" s="195">
        <f>PRODUCT(117/28)</f>
        <v>4.1785714285714288</v>
      </c>
      <c r="L69" s="257"/>
      <c r="M69" s="197" t="s">
        <v>511</v>
      </c>
      <c r="N69" s="117"/>
      <c r="O69" s="117"/>
      <c r="P69" s="6" t="s">
        <v>34</v>
      </c>
      <c r="Q69" s="117" t="s">
        <v>36</v>
      </c>
      <c r="R69" s="117" t="s">
        <v>483</v>
      </c>
      <c r="S69" s="117" t="s">
        <v>34</v>
      </c>
      <c r="T69" s="195"/>
      <c r="U69" s="196" t="s">
        <v>40</v>
      </c>
      <c r="V69" s="36"/>
      <c r="W69" s="199" t="s">
        <v>315</v>
      </c>
      <c r="X69" s="194"/>
      <c r="Y69" s="198" t="s">
        <v>328</v>
      </c>
      <c r="Z69" s="194"/>
      <c r="AA69" s="194"/>
      <c r="AB69" s="194"/>
      <c r="AC69" s="194"/>
      <c r="AD69" s="194"/>
      <c r="AE69" s="194"/>
      <c r="AF69" s="194"/>
      <c r="AG69" s="194" t="s">
        <v>327</v>
      </c>
      <c r="AH69" s="195">
        <f>PRODUCT(700/456)</f>
        <v>1.5350877192982457</v>
      </c>
      <c r="AI69" s="197" t="s">
        <v>579</v>
      </c>
      <c r="AJ69" s="258">
        <f>SUM(971279+344203)</f>
        <v>1315482</v>
      </c>
      <c r="AK69" s="117"/>
      <c r="AL69" s="201"/>
      <c r="AM69" s="117"/>
      <c r="AN69" s="201"/>
      <c r="AO69" s="117"/>
      <c r="AP69" s="194"/>
      <c r="AQ69" s="203"/>
      <c r="AR69" s="40"/>
      <c r="AS69" s="40"/>
      <c r="AT69" s="40"/>
    </row>
    <row r="70" spans="1:51" ht="15" customHeight="1" x14ac:dyDescent="0.25">
      <c r="A70" s="2"/>
      <c r="B70" s="193"/>
      <c r="C70" s="117"/>
      <c r="D70" s="194"/>
      <c r="E70" s="117"/>
      <c r="F70" s="117"/>
      <c r="G70" s="117"/>
      <c r="H70" s="195"/>
      <c r="I70" s="195"/>
      <c r="J70" s="195"/>
      <c r="K70" s="196"/>
      <c r="L70" s="36"/>
      <c r="M70" s="197"/>
      <c r="N70" s="117"/>
      <c r="O70" s="117"/>
      <c r="P70" s="117"/>
      <c r="Q70" s="117"/>
      <c r="R70" s="117"/>
      <c r="S70" s="117"/>
      <c r="T70" s="195"/>
      <c r="U70" s="196"/>
      <c r="V70" s="36"/>
      <c r="W70" s="199" t="s">
        <v>316</v>
      </c>
      <c r="X70" s="194"/>
      <c r="Y70" s="198" t="s">
        <v>334</v>
      </c>
      <c r="Z70" s="194"/>
      <c r="AA70" s="194"/>
      <c r="AB70" s="194"/>
      <c r="AC70" s="194"/>
      <c r="AD70" s="194"/>
      <c r="AE70" s="194"/>
      <c r="AF70" s="194"/>
      <c r="AG70" s="194" t="s">
        <v>333</v>
      </c>
      <c r="AH70" s="195">
        <f>PRODUCT(800/494)</f>
        <v>1.6194331983805668</v>
      </c>
      <c r="AI70" s="197" t="s">
        <v>580</v>
      </c>
      <c r="AJ70" s="217">
        <v>853</v>
      </c>
      <c r="AK70" s="117"/>
      <c r="AL70" s="195"/>
      <c r="AM70" s="117"/>
      <c r="AN70" s="195"/>
      <c r="AO70" s="117"/>
      <c r="AP70" s="194"/>
      <c r="AQ70" s="203"/>
      <c r="AR70" s="40"/>
      <c r="AS70" s="40"/>
      <c r="AT70" s="40"/>
      <c r="AW70" s="62"/>
      <c r="AX70" s="3"/>
      <c r="AY70" s="3"/>
    </row>
    <row r="71" spans="1:51" ht="15" customHeight="1" x14ac:dyDescent="0.25">
      <c r="A71" s="2"/>
      <c r="B71" s="193"/>
      <c r="C71" s="117"/>
      <c r="D71" s="194"/>
      <c r="E71" s="117"/>
      <c r="F71" s="117"/>
      <c r="G71" s="117"/>
      <c r="H71" s="195"/>
      <c r="I71" s="195"/>
      <c r="J71" s="195"/>
      <c r="K71" s="196"/>
      <c r="L71" s="36"/>
      <c r="M71" s="197"/>
      <c r="N71" s="117"/>
      <c r="O71" s="117"/>
      <c r="P71" s="117"/>
      <c r="Q71" s="117"/>
      <c r="R71" s="117"/>
      <c r="S71" s="117"/>
      <c r="T71" s="195"/>
      <c r="U71" s="196"/>
      <c r="V71" s="36"/>
      <c r="W71" s="199" t="s">
        <v>317</v>
      </c>
      <c r="X71" s="194"/>
      <c r="Y71" s="198" t="s">
        <v>330</v>
      </c>
      <c r="Z71" s="194"/>
      <c r="AA71" s="194"/>
      <c r="AB71" s="194"/>
      <c r="AC71" s="194"/>
      <c r="AD71" s="194"/>
      <c r="AE71" s="194"/>
      <c r="AF71" s="194"/>
      <c r="AG71" s="194" t="s">
        <v>329</v>
      </c>
      <c r="AH71" s="195">
        <f>PRODUCT(900/524)</f>
        <v>1.717557251908397</v>
      </c>
      <c r="AI71" s="197" t="s">
        <v>581</v>
      </c>
      <c r="AJ71" s="260">
        <f>PRODUCT(AJ69/AJ70)</f>
        <v>1542.1828839390387</v>
      </c>
      <c r="AK71" s="117"/>
      <c r="AL71" s="117"/>
      <c r="AM71" s="117"/>
      <c r="AN71" s="117"/>
      <c r="AO71" s="117"/>
      <c r="AP71" s="194"/>
      <c r="AQ71" s="203"/>
      <c r="AR71" s="40"/>
      <c r="AS71" s="40"/>
      <c r="AT71" s="40"/>
      <c r="AW71" s="62"/>
      <c r="AX71" s="3"/>
      <c r="AY71" s="3"/>
    </row>
    <row r="72" spans="1:51" ht="15" customHeight="1" x14ac:dyDescent="0.25">
      <c r="A72" s="2"/>
      <c r="B72" s="193"/>
      <c r="C72" s="117"/>
      <c r="D72" s="194"/>
      <c r="E72" s="117"/>
      <c r="F72" s="117"/>
      <c r="G72" s="117"/>
      <c r="H72" s="195"/>
      <c r="I72" s="195"/>
      <c r="J72" s="195"/>
      <c r="K72" s="196"/>
      <c r="L72" s="36"/>
      <c r="M72" s="197" t="s">
        <v>405</v>
      </c>
      <c r="N72" s="198"/>
      <c r="O72" s="117"/>
      <c r="P72" s="117"/>
      <c r="Q72" s="117"/>
      <c r="R72" s="117"/>
      <c r="S72" s="117"/>
      <c r="T72" s="195"/>
      <c r="U72" s="196"/>
      <c r="V72" s="36"/>
      <c r="W72" s="199" t="s">
        <v>318</v>
      </c>
      <c r="X72" s="198"/>
      <c r="Y72" s="198" t="s">
        <v>332</v>
      </c>
      <c r="Z72" s="194"/>
      <c r="AA72" s="194"/>
      <c r="AB72" s="194"/>
      <c r="AC72" s="194"/>
      <c r="AD72" s="194"/>
      <c r="AE72" s="194"/>
      <c r="AF72" s="200"/>
      <c r="AG72" s="194" t="s">
        <v>331</v>
      </c>
      <c r="AH72" s="195">
        <f>PRODUCT(1000/550)</f>
        <v>1.8181818181818181</v>
      </c>
      <c r="AI72" s="215"/>
      <c r="AJ72" s="194"/>
      <c r="AK72" s="194"/>
      <c r="AL72" s="194"/>
      <c r="AM72" s="198"/>
      <c r="AN72" s="194"/>
      <c r="AO72" s="194"/>
      <c r="AP72" s="194"/>
      <c r="AQ72" s="205"/>
      <c r="AR72" s="40"/>
      <c r="AS72" s="40"/>
      <c r="AT72" s="40"/>
      <c r="AW72" s="62"/>
      <c r="AX72" s="3"/>
      <c r="AY72" s="3"/>
    </row>
    <row r="73" spans="1:51" ht="15" customHeight="1" x14ac:dyDescent="0.25">
      <c r="A73" s="2"/>
      <c r="B73" s="193"/>
      <c r="C73" s="117"/>
      <c r="D73" s="194"/>
      <c r="E73" s="117"/>
      <c r="F73" s="117"/>
      <c r="G73" s="117"/>
      <c r="H73" s="195"/>
      <c r="I73" s="195"/>
      <c r="J73" s="195"/>
      <c r="K73" s="196"/>
      <c r="L73" s="36"/>
      <c r="M73" s="197" t="s">
        <v>463</v>
      </c>
      <c r="N73" s="198"/>
      <c r="O73" s="117"/>
      <c r="P73" s="117"/>
      <c r="Q73" s="117"/>
      <c r="R73" s="117"/>
      <c r="S73" s="117"/>
      <c r="T73" s="195"/>
      <c r="U73" s="196"/>
      <c r="V73" s="36"/>
      <c r="W73" s="199" t="s">
        <v>446</v>
      </c>
      <c r="X73" s="198"/>
      <c r="Y73" s="198" t="s">
        <v>447</v>
      </c>
      <c r="Z73" s="194"/>
      <c r="AA73" s="194"/>
      <c r="AB73" s="194"/>
      <c r="AC73" s="194"/>
      <c r="AD73" s="194"/>
      <c r="AE73" s="194"/>
      <c r="AF73" s="200"/>
      <c r="AG73" s="194" t="s">
        <v>448</v>
      </c>
      <c r="AH73" s="195">
        <v>1.91</v>
      </c>
      <c r="AI73" s="215"/>
      <c r="AJ73" s="194"/>
      <c r="AK73" s="194"/>
      <c r="AL73" s="194"/>
      <c r="AM73" s="198"/>
      <c r="AN73" s="194"/>
      <c r="AO73" s="194"/>
      <c r="AP73" s="194"/>
      <c r="AQ73" s="205"/>
      <c r="AR73" s="40"/>
      <c r="AS73" s="40"/>
      <c r="AT73" s="40"/>
      <c r="AW73" s="62"/>
      <c r="AX73" s="3"/>
      <c r="AY73" s="3"/>
    </row>
    <row r="74" spans="1:51" ht="15" customHeight="1" x14ac:dyDescent="0.25">
      <c r="A74" s="2"/>
      <c r="B74" s="193"/>
      <c r="C74" s="117"/>
      <c r="D74" s="194"/>
      <c r="E74" s="117"/>
      <c r="F74" s="117"/>
      <c r="G74" s="117"/>
      <c r="H74" s="195"/>
      <c r="I74" s="195"/>
      <c r="J74" s="195"/>
      <c r="K74" s="196"/>
      <c r="L74" s="36"/>
      <c r="M74" s="197"/>
      <c r="N74" s="198"/>
      <c r="O74" s="117"/>
      <c r="P74" s="117"/>
      <c r="Q74" s="117"/>
      <c r="R74" s="117"/>
      <c r="S74" s="117"/>
      <c r="T74" s="195"/>
      <c r="U74" s="196"/>
      <c r="V74" s="36"/>
      <c r="W74" s="199" t="s">
        <v>374</v>
      </c>
      <c r="X74" s="198"/>
      <c r="Y74" s="198" t="s">
        <v>459</v>
      </c>
      <c r="Z74" s="194"/>
      <c r="AA74" s="194"/>
      <c r="AB74" s="194"/>
      <c r="AC74" s="194"/>
      <c r="AD74" s="194"/>
      <c r="AE74" s="194"/>
      <c r="AF74" s="200"/>
      <c r="AG74" s="194" t="s">
        <v>460</v>
      </c>
      <c r="AH74" s="195">
        <f>PRODUCT(1200/614)</f>
        <v>1.9543973941368078</v>
      </c>
      <c r="AI74" s="215"/>
      <c r="AJ74" s="194"/>
      <c r="AK74" s="194"/>
      <c r="AL74" s="194"/>
      <c r="AM74" s="198"/>
      <c r="AN74" s="194"/>
      <c r="AO74" s="194"/>
      <c r="AP74" s="194"/>
      <c r="AQ74" s="205"/>
      <c r="AR74" s="40"/>
      <c r="AS74" s="40"/>
      <c r="AT74" s="40"/>
      <c r="AW74" s="62"/>
      <c r="AX74" s="3"/>
      <c r="AY74" s="3"/>
    </row>
    <row r="75" spans="1:51" ht="15" customHeight="1" x14ac:dyDescent="0.25">
      <c r="A75" s="2"/>
      <c r="B75" s="193"/>
      <c r="C75" s="117"/>
      <c r="D75" s="194"/>
      <c r="E75" s="117"/>
      <c r="F75" s="117"/>
      <c r="G75" s="117"/>
      <c r="H75" s="195"/>
      <c r="I75" s="195"/>
      <c r="J75" s="195"/>
      <c r="K75" s="196"/>
      <c r="L75" s="36"/>
      <c r="M75" s="197" t="s">
        <v>375</v>
      </c>
      <c r="N75" s="198"/>
      <c r="O75" s="117"/>
      <c r="P75" s="117"/>
      <c r="Q75" s="117"/>
      <c r="R75" s="117"/>
      <c r="S75" s="117"/>
      <c r="T75" s="195"/>
      <c r="U75" s="196"/>
      <c r="V75" s="36"/>
      <c r="W75" s="239" t="s">
        <v>512</v>
      </c>
      <c r="X75" s="198"/>
      <c r="Y75" s="198" t="s">
        <v>513</v>
      </c>
      <c r="Z75" s="194"/>
      <c r="AA75" s="194"/>
      <c r="AB75" s="194"/>
      <c r="AC75" s="194"/>
      <c r="AD75" s="194"/>
      <c r="AE75" s="194"/>
      <c r="AF75" s="200"/>
      <c r="AG75" s="194" t="s">
        <v>514</v>
      </c>
      <c r="AH75" s="195">
        <f>PRODUCT(1300/670)</f>
        <v>1.9402985074626866</v>
      </c>
      <c r="AI75" s="215"/>
      <c r="AJ75" s="194"/>
      <c r="AK75" s="194"/>
      <c r="AL75" s="194"/>
      <c r="AM75" s="198"/>
      <c r="AN75" s="194"/>
      <c r="AO75" s="194"/>
      <c r="AP75" s="194"/>
      <c r="AQ75" s="205"/>
      <c r="AR75" s="40"/>
      <c r="AS75" s="40"/>
      <c r="AT75" s="40"/>
    </row>
    <row r="76" spans="1:51" ht="15" customHeight="1" x14ac:dyDescent="0.25">
      <c r="A76" s="2"/>
      <c r="B76" s="193"/>
      <c r="C76" s="117"/>
      <c r="D76" s="194"/>
      <c r="E76" s="117"/>
      <c r="F76" s="117"/>
      <c r="G76" s="117"/>
      <c r="H76" s="195"/>
      <c r="I76" s="195"/>
      <c r="J76" s="195"/>
      <c r="K76" s="196"/>
      <c r="L76" s="36"/>
      <c r="M76" s="197" t="s">
        <v>494</v>
      </c>
      <c r="N76" s="117"/>
      <c r="O76" s="117"/>
      <c r="P76" s="117"/>
      <c r="Q76" s="117"/>
      <c r="R76" s="117"/>
      <c r="S76" s="117"/>
      <c r="T76" s="195"/>
      <c r="U76" s="196"/>
      <c r="V76" s="36"/>
      <c r="W76" s="199"/>
      <c r="X76" s="198"/>
      <c r="Y76" s="198"/>
      <c r="Z76" s="194"/>
      <c r="AA76" s="194"/>
      <c r="AB76" s="194"/>
      <c r="AC76" s="194"/>
      <c r="AD76" s="194"/>
      <c r="AE76" s="194"/>
      <c r="AF76" s="200"/>
      <c r="AG76" s="198"/>
      <c r="AH76" s="195"/>
      <c r="AI76" s="215"/>
      <c r="AJ76" s="194"/>
      <c r="AK76" s="194"/>
      <c r="AL76" s="194"/>
      <c r="AM76" s="198"/>
      <c r="AN76" s="194"/>
      <c r="AO76" s="194"/>
      <c r="AP76" s="194"/>
      <c r="AQ76" s="205"/>
      <c r="AR76" s="40"/>
      <c r="AS76" s="40"/>
      <c r="AT76" s="40"/>
      <c r="AW76" s="62"/>
      <c r="AX76" s="3"/>
      <c r="AY76" s="3"/>
    </row>
    <row r="77" spans="1:51" ht="15" customHeight="1" x14ac:dyDescent="0.25">
      <c r="A77" s="2"/>
      <c r="B77" s="193"/>
      <c r="C77" s="117"/>
      <c r="D77" s="194"/>
      <c r="E77" s="117"/>
      <c r="F77" s="117"/>
      <c r="G77" s="117"/>
      <c r="H77" s="195"/>
      <c r="I77" s="195"/>
      <c r="J77" s="195"/>
      <c r="K77" s="196"/>
      <c r="L77" s="36"/>
      <c r="M77" s="197" t="s">
        <v>515</v>
      </c>
      <c r="N77" s="117"/>
      <c r="O77" s="117"/>
      <c r="P77" s="117"/>
      <c r="Q77" s="117"/>
      <c r="R77" s="117"/>
      <c r="S77" s="117"/>
      <c r="T77" s="195"/>
      <c r="U77" s="196"/>
      <c r="V77" s="36"/>
      <c r="W77" s="199" t="s">
        <v>264</v>
      </c>
      <c r="X77" s="198"/>
      <c r="Y77" s="198"/>
      <c r="Z77" s="194"/>
      <c r="AA77" s="194"/>
      <c r="AB77" s="194"/>
      <c r="AC77" s="194"/>
      <c r="AD77" s="194"/>
      <c r="AE77" s="194"/>
      <c r="AF77" s="200"/>
      <c r="AG77" s="194"/>
      <c r="AH77" s="117"/>
      <c r="AI77" s="215"/>
      <c r="AJ77" s="194"/>
      <c r="AK77" s="194"/>
      <c r="AL77" s="194"/>
      <c r="AM77" s="198"/>
      <c r="AN77" s="194"/>
      <c r="AO77" s="194"/>
      <c r="AP77" s="194"/>
      <c r="AQ77" s="205"/>
      <c r="AR77" s="40"/>
      <c r="AS77" s="40"/>
      <c r="AT77" s="40"/>
    </row>
    <row r="78" spans="1:51" ht="15" customHeight="1" x14ac:dyDescent="0.25">
      <c r="A78" s="2"/>
      <c r="B78" s="193"/>
      <c r="C78" s="117"/>
      <c r="D78" s="194"/>
      <c r="E78" s="117"/>
      <c r="F78" s="117"/>
      <c r="G78" s="117"/>
      <c r="H78" s="195"/>
      <c r="I78" s="195"/>
      <c r="J78" s="195"/>
      <c r="K78" s="196"/>
      <c r="L78" s="36"/>
      <c r="M78" s="197"/>
      <c r="N78" s="117"/>
      <c r="O78" s="117"/>
      <c r="P78" s="117"/>
      <c r="Q78" s="117"/>
      <c r="R78" s="117"/>
      <c r="S78" s="117"/>
      <c r="T78" s="195"/>
      <c r="U78" s="196"/>
      <c r="V78" s="36"/>
      <c r="W78" s="199" t="s">
        <v>268</v>
      </c>
      <c r="X78" s="198" t="s">
        <v>371</v>
      </c>
      <c r="Y78" s="194" t="s">
        <v>440</v>
      </c>
      <c r="Z78" s="198"/>
      <c r="AA78" s="198"/>
      <c r="AB78" s="198"/>
      <c r="AC78" s="198"/>
      <c r="AD78" s="198"/>
      <c r="AE78" s="198"/>
      <c r="AF78" s="198"/>
      <c r="AG78" s="194" t="s">
        <v>430</v>
      </c>
      <c r="AH78" s="195">
        <v>0.65359477124183007</v>
      </c>
      <c r="AI78" s="215"/>
      <c r="AJ78" s="194"/>
      <c r="AK78" s="194"/>
      <c r="AL78" s="194"/>
      <c r="AM78" s="198"/>
      <c r="AN78" s="194"/>
      <c r="AO78" s="194"/>
      <c r="AP78" s="194"/>
      <c r="AQ78" s="205"/>
      <c r="AR78" s="40"/>
      <c r="AS78" s="40"/>
      <c r="AT78" s="40"/>
    </row>
    <row r="79" spans="1:51" ht="15" customHeight="1" x14ac:dyDescent="0.25">
      <c r="A79" s="2"/>
      <c r="B79" s="193"/>
      <c r="C79" s="117"/>
      <c r="D79" s="194"/>
      <c r="E79" s="117"/>
      <c r="F79" s="117"/>
      <c r="G79" s="117"/>
      <c r="H79" s="195"/>
      <c r="I79" s="195"/>
      <c r="J79" s="195"/>
      <c r="K79" s="196"/>
      <c r="L79" s="36"/>
      <c r="M79" s="197"/>
      <c r="N79" s="117"/>
      <c r="O79" s="117"/>
      <c r="P79" s="117"/>
      <c r="Q79" s="117"/>
      <c r="R79" s="117"/>
      <c r="S79" s="117"/>
      <c r="T79" s="195"/>
      <c r="U79" s="196"/>
      <c r="V79" s="36"/>
      <c r="W79" s="199" t="s">
        <v>261</v>
      </c>
      <c r="X79" s="198" t="s">
        <v>371</v>
      </c>
      <c r="Y79" s="198" t="s">
        <v>336</v>
      </c>
      <c r="Z79" s="194"/>
      <c r="AA79" s="194"/>
      <c r="AB79" s="194"/>
      <c r="AC79" s="194"/>
      <c r="AD79" s="194"/>
      <c r="AE79" s="194"/>
      <c r="AF79" s="204"/>
      <c r="AG79" s="194" t="s">
        <v>335</v>
      </c>
      <c r="AH79" s="195">
        <f>PRODUCT(300/406)</f>
        <v>0.73891625615763545</v>
      </c>
      <c r="AI79" s="215"/>
      <c r="AJ79" s="194"/>
      <c r="AK79" s="194"/>
      <c r="AL79" s="194"/>
      <c r="AM79" s="198"/>
      <c r="AN79" s="194"/>
      <c r="AO79" s="194"/>
      <c r="AP79" s="194"/>
      <c r="AQ79" s="205"/>
      <c r="AR79" s="40"/>
      <c r="AS79" s="40"/>
      <c r="AT79" s="40"/>
      <c r="AW79" s="62"/>
      <c r="AX79" s="3"/>
      <c r="AY79" s="3"/>
    </row>
    <row r="80" spans="1:51" ht="15" customHeight="1" x14ac:dyDescent="0.25">
      <c r="A80" s="2"/>
      <c r="B80" s="193"/>
      <c r="C80" s="117"/>
      <c r="D80" s="194"/>
      <c r="E80" s="117"/>
      <c r="F80" s="117"/>
      <c r="G80" s="117"/>
      <c r="H80" s="195"/>
      <c r="I80" s="195"/>
      <c r="J80" s="195"/>
      <c r="K80" s="196"/>
      <c r="L80" s="36"/>
      <c r="M80" s="197"/>
      <c r="N80" s="117"/>
      <c r="O80" s="117"/>
      <c r="P80" s="117"/>
      <c r="Q80" s="117"/>
      <c r="R80" s="117"/>
      <c r="S80" s="117"/>
      <c r="T80" s="195"/>
      <c r="U80" s="196"/>
      <c r="V80" s="36"/>
      <c r="W80" s="199" t="s">
        <v>262</v>
      </c>
      <c r="X80" s="198" t="s">
        <v>371</v>
      </c>
      <c r="Y80" s="198" t="s">
        <v>461</v>
      </c>
      <c r="Z80" s="194"/>
      <c r="AA80" s="194"/>
      <c r="AB80" s="194"/>
      <c r="AC80" s="194"/>
      <c r="AD80" s="194"/>
      <c r="AE80" s="194"/>
      <c r="AF80" s="204"/>
      <c r="AG80" s="194" t="s">
        <v>462</v>
      </c>
      <c r="AH80" s="195">
        <f>PRODUCT(400/601)</f>
        <v>0.66555740432612309</v>
      </c>
      <c r="AI80" s="215"/>
      <c r="AJ80" s="194"/>
      <c r="AK80" s="194"/>
      <c r="AL80" s="194"/>
      <c r="AM80" s="198"/>
      <c r="AN80" s="194"/>
      <c r="AO80" s="194"/>
      <c r="AP80" s="194"/>
      <c r="AQ80" s="205"/>
      <c r="AR80" s="40"/>
      <c r="AS80" s="40"/>
      <c r="AT80" s="40"/>
      <c r="AW80" s="62"/>
      <c r="AX80" s="3"/>
      <c r="AY80" s="3"/>
    </row>
    <row r="81" spans="1:51" ht="15" customHeight="1" x14ac:dyDescent="0.25">
      <c r="A81" s="2"/>
      <c r="B81" s="193"/>
      <c r="C81" s="117"/>
      <c r="D81" s="194"/>
      <c r="E81" s="117"/>
      <c r="F81" s="117"/>
      <c r="G81" s="117"/>
      <c r="H81" s="195"/>
      <c r="I81" s="195"/>
      <c r="J81" s="195"/>
      <c r="K81" s="196"/>
      <c r="L81" s="36"/>
      <c r="M81" s="197"/>
      <c r="N81" s="117"/>
      <c r="O81" s="117"/>
      <c r="P81" s="117"/>
      <c r="Q81" s="117"/>
      <c r="R81" s="117"/>
      <c r="S81" s="117"/>
      <c r="T81" s="195"/>
      <c r="U81" s="196"/>
      <c r="V81" s="36"/>
      <c r="W81" s="193"/>
      <c r="X81" s="198" t="s">
        <v>371</v>
      </c>
      <c r="Y81" s="194"/>
      <c r="Z81" s="194"/>
      <c r="AA81" s="194"/>
      <c r="AB81" s="194"/>
      <c r="AC81" s="194"/>
      <c r="AD81" s="194"/>
      <c r="AE81" s="194"/>
      <c r="AF81" s="204"/>
      <c r="AG81" s="194"/>
      <c r="AH81" s="200"/>
      <c r="AI81" s="215"/>
      <c r="AJ81" s="194"/>
      <c r="AK81" s="194"/>
      <c r="AL81" s="194"/>
      <c r="AM81" s="198"/>
      <c r="AN81" s="194"/>
      <c r="AO81" s="194"/>
      <c r="AP81" s="194"/>
      <c r="AQ81" s="205"/>
      <c r="AR81" s="40"/>
      <c r="AS81" s="40"/>
      <c r="AT81" s="40"/>
      <c r="AW81" s="62"/>
      <c r="AX81" s="3"/>
      <c r="AY81" s="3"/>
    </row>
    <row r="82" spans="1:51" ht="15" customHeight="1" x14ac:dyDescent="0.25">
      <c r="A82" s="2"/>
      <c r="B82" s="193"/>
      <c r="C82" s="117"/>
      <c r="D82" s="194"/>
      <c r="E82" s="117"/>
      <c r="F82" s="117"/>
      <c r="G82" s="117"/>
      <c r="H82" s="195"/>
      <c r="I82" s="195"/>
      <c r="J82" s="195"/>
      <c r="K82" s="196"/>
      <c r="L82" s="36"/>
      <c r="M82" s="197"/>
      <c r="N82" s="117"/>
      <c r="O82" s="117"/>
      <c r="P82" s="117"/>
      <c r="Q82" s="117"/>
      <c r="R82" s="117"/>
      <c r="S82" s="117"/>
      <c r="T82" s="195"/>
      <c r="U82" s="196"/>
      <c r="V82" s="36"/>
      <c r="W82" s="197" t="s">
        <v>373</v>
      </c>
      <c r="X82" s="198"/>
      <c r="Y82" s="194"/>
      <c r="Z82" s="194"/>
      <c r="AA82" s="194"/>
      <c r="AB82" s="194"/>
      <c r="AC82" s="194"/>
      <c r="AD82" s="194"/>
      <c r="AE82" s="194"/>
      <c r="AF82" s="204"/>
      <c r="AG82" s="194"/>
      <c r="AH82" s="200"/>
      <c r="AI82" s="215"/>
      <c r="AJ82" s="194"/>
      <c r="AK82" s="194"/>
      <c r="AL82" s="194"/>
      <c r="AM82" s="198"/>
      <c r="AN82" s="194"/>
      <c r="AO82" s="194"/>
      <c r="AP82" s="194"/>
      <c r="AQ82" s="205"/>
      <c r="AR82" s="40"/>
      <c r="AS82" s="40"/>
      <c r="AT82" s="40"/>
      <c r="AW82" s="62"/>
      <c r="AX82" s="3"/>
      <c r="AY82" s="3"/>
    </row>
    <row r="83" spans="1:51" ht="15" customHeight="1" x14ac:dyDescent="0.25">
      <c r="A83" s="2"/>
      <c r="B83" s="193"/>
      <c r="C83" s="117"/>
      <c r="D83" s="194"/>
      <c r="E83" s="117"/>
      <c r="F83" s="117"/>
      <c r="G83" s="117"/>
      <c r="H83" s="195"/>
      <c r="I83" s="195"/>
      <c r="J83" s="195"/>
      <c r="K83" s="196"/>
      <c r="L83" s="36"/>
      <c r="M83" s="197"/>
      <c r="N83" s="117"/>
      <c r="O83" s="117"/>
      <c r="P83" s="117"/>
      <c r="Q83" s="117"/>
      <c r="R83" s="117"/>
      <c r="S83" s="117"/>
      <c r="T83" s="195"/>
      <c r="U83" s="196"/>
      <c r="V83" s="36"/>
      <c r="W83" s="199" t="s">
        <v>265</v>
      </c>
      <c r="X83" s="198" t="s">
        <v>371</v>
      </c>
      <c r="Y83" s="194" t="s">
        <v>432</v>
      </c>
      <c r="Z83" s="198"/>
      <c r="AA83" s="198"/>
      <c r="AB83" s="198"/>
      <c r="AC83" s="198"/>
      <c r="AD83" s="198"/>
      <c r="AE83" s="198"/>
      <c r="AF83" s="198"/>
      <c r="AG83" s="194" t="s">
        <v>431</v>
      </c>
      <c r="AH83" s="195">
        <v>2.1276595744680851</v>
      </c>
      <c r="AI83" s="215"/>
      <c r="AJ83" s="194"/>
      <c r="AK83" s="194"/>
      <c r="AL83" s="194"/>
      <c r="AM83" s="198"/>
      <c r="AN83" s="194"/>
      <c r="AO83" s="194"/>
      <c r="AP83" s="194"/>
      <c r="AQ83" s="205"/>
      <c r="AR83" s="40"/>
      <c r="AS83" s="40"/>
      <c r="AT83" s="40"/>
      <c r="AW83" s="62"/>
      <c r="AX83" s="3"/>
      <c r="AY83" s="3"/>
    </row>
    <row r="84" spans="1:51" ht="15" customHeight="1" x14ac:dyDescent="0.25">
      <c r="A84" s="2"/>
      <c r="B84" s="193"/>
      <c r="C84" s="117"/>
      <c r="D84" s="194"/>
      <c r="E84" s="117"/>
      <c r="F84" s="117"/>
      <c r="G84" s="117"/>
      <c r="H84" s="195"/>
      <c r="I84" s="195"/>
      <c r="J84" s="195"/>
      <c r="K84" s="196"/>
      <c r="L84" s="36"/>
      <c r="M84" s="197"/>
      <c r="N84" s="117"/>
      <c r="O84" s="117"/>
      <c r="P84" s="117"/>
      <c r="Q84" s="117"/>
      <c r="R84" s="117"/>
      <c r="S84" s="117"/>
      <c r="T84" s="195"/>
      <c r="U84" s="196"/>
      <c r="V84" s="36"/>
      <c r="W84" s="199" t="s">
        <v>318</v>
      </c>
      <c r="X84" s="198"/>
      <c r="Y84" s="194" t="s">
        <v>433</v>
      </c>
      <c r="Z84" s="198"/>
      <c r="AA84" s="198"/>
      <c r="AB84" s="198"/>
      <c r="AC84" s="198"/>
      <c r="AD84" s="198"/>
      <c r="AE84" s="198"/>
      <c r="AF84" s="198"/>
      <c r="AG84" s="194" t="s">
        <v>407</v>
      </c>
      <c r="AH84" s="195">
        <v>2.2222222222222223</v>
      </c>
      <c r="AI84" s="215"/>
      <c r="AJ84" s="194"/>
      <c r="AK84" s="194"/>
      <c r="AL84" s="194"/>
      <c r="AM84" s="198"/>
      <c r="AN84" s="194"/>
      <c r="AO84" s="194"/>
      <c r="AP84" s="194"/>
      <c r="AQ84" s="205"/>
      <c r="AR84" s="40"/>
      <c r="AS84" s="40"/>
      <c r="AT84" s="40"/>
      <c r="AW84" s="62"/>
      <c r="AX84" s="3"/>
      <c r="AY84" s="3"/>
    </row>
    <row r="85" spans="1:51" ht="15" customHeight="1" x14ac:dyDescent="0.25">
      <c r="A85" s="2"/>
      <c r="B85" s="193"/>
      <c r="C85" s="117"/>
      <c r="D85" s="194"/>
      <c r="E85" s="117"/>
      <c r="F85" s="117"/>
      <c r="G85" s="117"/>
      <c r="H85" s="195"/>
      <c r="I85" s="195"/>
      <c r="J85" s="195"/>
      <c r="K85" s="196"/>
      <c r="L85" s="36"/>
      <c r="M85" s="197"/>
      <c r="N85" s="117"/>
      <c r="O85" s="117"/>
      <c r="P85" s="117"/>
      <c r="Q85" s="117"/>
      <c r="R85" s="117"/>
      <c r="S85" s="117"/>
      <c r="T85" s="195"/>
      <c r="U85" s="196"/>
      <c r="V85" s="36"/>
      <c r="W85" s="199" t="s">
        <v>449</v>
      </c>
      <c r="X85" s="198"/>
      <c r="Y85" s="194" t="s">
        <v>450</v>
      </c>
      <c r="Z85" s="198"/>
      <c r="AA85" s="198"/>
      <c r="AB85" s="198"/>
      <c r="AC85" s="198"/>
      <c r="AD85" s="198"/>
      <c r="AE85" s="198"/>
      <c r="AF85" s="198"/>
      <c r="AG85" s="194" t="s">
        <v>451</v>
      </c>
      <c r="AH85" s="195">
        <v>2.59</v>
      </c>
      <c r="AI85" s="215"/>
      <c r="AJ85" s="194"/>
      <c r="AK85" s="194"/>
      <c r="AL85" s="194"/>
      <c r="AM85" s="198"/>
      <c r="AN85" s="194"/>
      <c r="AO85" s="194"/>
      <c r="AP85" s="194"/>
      <c r="AQ85" s="205"/>
      <c r="AR85" s="40"/>
      <c r="AS85" s="40"/>
      <c r="AT85" s="40"/>
      <c r="AW85" s="62"/>
      <c r="AX85" s="3"/>
      <c r="AY85" s="3"/>
    </row>
    <row r="86" spans="1:51" ht="15" customHeight="1" x14ac:dyDescent="0.25">
      <c r="A86" s="2"/>
      <c r="B86" s="193"/>
      <c r="C86" s="117"/>
      <c r="D86" s="194"/>
      <c r="E86" s="117"/>
      <c r="F86" s="117"/>
      <c r="G86" s="117"/>
      <c r="H86" s="195"/>
      <c r="I86" s="195"/>
      <c r="J86" s="195"/>
      <c r="K86" s="196"/>
      <c r="L86" s="36"/>
      <c r="M86" s="197"/>
      <c r="N86" s="117"/>
      <c r="O86" s="117"/>
      <c r="P86" s="117"/>
      <c r="Q86" s="117"/>
      <c r="R86" s="117"/>
      <c r="S86" s="117"/>
      <c r="T86" s="195"/>
      <c r="U86" s="196"/>
      <c r="V86" s="36"/>
      <c r="W86" s="199"/>
      <c r="X86" s="198"/>
      <c r="Y86" s="194"/>
      <c r="Z86" s="194"/>
      <c r="AA86" s="194"/>
      <c r="AB86" s="194"/>
      <c r="AC86" s="194"/>
      <c r="AD86" s="194"/>
      <c r="AE86" s="194"/>
      <c r="AF86" s="204"/>
      <c r="AG86" s="194"/>
      <c r="AH86" s="200"/>
      <c r="AI86" s="215"/>
      <c r="AJ86" s="194"/>
      <c r="AK86" s="194"/>
      <c r="AL86" s="194"/>
      <c r="AM86" s="198"/>
      <c r="AN86" s="194"/>
      <c r="AO86" s="194"/>
      <c r="AP86" s="194"/>
      <c r="AQ86" s="205"/>
      <c r="AR86" s="40"/>
      <c r="AS86" s="40"/>
      <c r="AT86" s="40"/>
      <c r="AW86" s="62"/>
      <c r="AX86" s="3"/>
      <c r="AY86" s="3"/>
    </row>
    <row r="87" spans="1:51" ht="15" customHeight="1" x14ac:dyDescent="0.25">
      <c r="A87" s="2"/>
      <c r="B87" s="193"/>
      <c r="C87" s="117"/>
      <c r="D87" s="194"/>
      <c r="E87" s="117"/>
      <c r="F87" s="117"/>
      <c r="G87" s="117"/>
      <c r="H87" s="195"/>
      <c r="I87" s="195"/>
      <c r="J87" s="195"/>
      <c r="K87" s="196"/>
      <c r="L87" s="36"/>
      <c r="M87" s="197"/>
      <c r="N87" s="117"/>
      <c r="O87" s="117"/>
      <c r="P87" s="117"/>
      <c r="Q87" s="117"/>
      <c r="R87" s="117"/>
      <c r="S87" s="117"/>
      <c r="T87" s="195"/>
      <c r="U87" s="196"/>
      <c r="V87" s="36"/>
      <c r="W87" s="197" t="s">
        <v>375</v>
      </c>
      <c r="X87" s="198"/>
      <c r="Y87" s="194"/>
      <c r="Z87" s="194"/>
      <c r="AA87" s="194"/>
      <c r="AB87" s="194"/>
      <c r="AC87" s="194"/>
      <c r="AD87" s="194"/>
      <c r="AE87" s="194"/>
      <c r="AF87" s="204"/>
      <c r="AG87" s="194"/>
      <c r="AH87" s="200"/>
      <c r="AI87" s="215"/>
      <c r="AJ87" s="194"/>
      <c r="AK87" s="194"/>
      <c r="AL87" s="194"/>
      <c r="AM87" s="198"/>
      <c r="AN87" s="194"/>
      <c r="AO87" s="194"/>
      <c r="AP87" s="194"/>
      <c r="AQ87" s="205"/>
      <c r="AR87" s="40"/>
      <c r="AS87" s="40"/>
      <c r="AT87" s="40"/>
      <c r="AW87" s="62"/>
      <c r="AX87" s="3"/>
      <c r="AY87" s="3"/>
    </row>
    <row r="88" spans="1:51" ht="15" customHeight="1" x14ac:dyDescent="0.25">
      <c r="A88" s="2"/>
      <c r="B88" s="193"/>
      <c r="C88" s="117"/>
      <c r="D88" s="194"/>
      <c r="E88" s="117"/>
      <c r="F88" s="117"/>
      <c r="G88" s="117"/>
      <c r="H88" s="195"/>
      <c r="I88" s="195"/>
      <c r="J88" s="195"/>
      <c r="K88" s="196"/>
      <c r="L88" s="36"/>
      <c r="M88" s="197"/>
      <c r="N88" s="117"/>
      <c r="O88" s="117"/>
      <c r="P88" s="117"/>
      <c r="Q88" s="117"/>
      <c r="R88" s="117"/>
      <c r="S88" s="117"/>
      <c r="T88" s="195"/>
      <c r="U88" s="196"/>
      <c r="V88" s="36"/>
      <c r="W88" s="199" t="s">
        <v>318</v>
      </c>
      <c r="X88" s="198"/>
      <c r="Y88" s="198" t="s">
        <v>434</v>
      </c>
      <c r="Z88" s="198"/>
      <c r="AA88" s="198"/>
      <c r="AB88" s="198"/>
      <c r="AC88" s="198"/>
      <c r="AD88" s="198"/>
      <c r="AE88" s="198"/>
      <c r="AF88" s="198"/>
      <c r="AG88" s="198" t="s">
        <v>435</v>
      </c>
      <c r="AH88" s="195">
        <v>4.6296296296296298</v>
      </c>
      <c r="AI88" s="215"/>
      <c r="AJ88" s="194"/>
      <c r="AK88" s="194"/>
      <c r="AL88" s="194"/>
      <c r="AM88" s="198"/>
      <c r="AN88" s="194"/>
      <c r="AO88" s="194"/>
      <c r="AP88" s="194"/>
      <c r="AQ88" s="205"/>
      <c r="AR88" s="40"/>
      <c r="AS88" s="40"/>
      <c r="AT88" s="40"/>
      <c r="AW88" s="62"/>
      <c r="AX88" s="3"/>
      <c r="AY88" s="3"/>
    </row>
    <row r="89" spans="1:51" ht="15" customHeight="1" x14ac:dyDescent="0.25">
      <c r="A89" s="2"/>
      <c r="B89" s="197"/>
      <c r="C89" s="198"/>
      <c r="D89" s="194"/>
      <c r="E89" s="117"/>
      <c r="F89" s="117"/>
      <c r="G89" s="117"/>
      <c r="H89" s="195"/>
      <c r="I89" s="195"/>
      <c r="J89" s="195"/>
      <c r="K89" s="196"/>
      <c r="L89" s="36"/>
      <c r="M89" s="197"/>
      <c r="N89" s="117"/>
      <c r="O89" s="117"/>
      <c r="P89" s="117"/>
      <c r="Q89" s="117"/>
      <c r="R89" s="117"/>
      <c r="S89" s="117"/>
      <c r="T89" s="195"/>
      <c r="U89" s="196"/>
      <c r="V89" s="36"/>
      <c r="W89" s="199" t="s">
        <v>376</v>
      </c>
      <c r="X89" s="198"/>
      <c r="Y89" s="198" t="s">
        <v>438</v>
      </c>
      <c r="Z89" s="198"/>
      <c r="AA89" s="198"/>
      <c r="AB89" s="198"/>
      <c r="AC89" s="198"/>
      <c r="AD89" s="198"/>
      <c r="AE89" s="198"/>
      <c r="AF89" s="198"/>
      <c r="AG89" s="198" t="s">
        <v>436</v>
      </c>
      <c r="AH89" s="195">
        <v>5.376344086021505</v>
      </c>
      <c r="AI89" s="215"/>
      <c r="AJ89" s="194"/>
      <c r="AK89" s="194"/>
      <c r="AL89" s="194"/>
      <c r="AM89" s="198"/>
      <c r="AN89" s="194"/>
      <c r="AO89" s="194"/>
      <c r="AP89" s="194"/>
      <c r="AQ89" s="205"/>
      <c r="AR89" s="40"/>
      <c r="AS89" s="40"/>
      <c r="AT89" s="40"/>
      <c r="AW89" s="62"/>
      <c r="AX89" s="3"/>
      <c r="AY89" s="3"/>
    </row>
    <row r="90" spans="1:51" ht="15" customHeight="1" x14ac:dyDescent="0.25">
      <c r="A90" s="2"/>
      <c r="B90" s="197"/>
      <c r="C90" s="198"/>
      <c r="D90" s="194"/>
      <c r="E90" s="117"/>
      <c r="F90" s="117"/>
      <c r="G90" s="117"/>
      <c r="H90" s="195"/>
      <c r="I90" s="195"/>
      <c r="J90" s="195"/>
      <c r="K90" s="196"/>
      <c r="L90" s="36"/>
      <c r="M90" s="197"/>
      <c r="N90" s="117"/>
      <c r="O90" s="117"/>
      <c r="P90" s="117"/>
      <c r="Q90" s="117"/>
      <c r="R90" s="117"/>
      <c r="S90" s="117"/>
      <c r="T90" s="195"/>
      <c r="U90" s="196"/>
      <c r="V90" s="36"/>
      <c r="W90" s="199" t="s">
        <v>377</v>
      </c>
      <c r="X90" s="198"/>
      <c r="Y90" s="198" t="s">
        <v>439</v>
      </c>
      <c r="Z90" s="198"/>
      <c r="AA90" s="198"/>
      <c r="AB90" s="198"/>
      <c r="AC90" s="198"/>
      <c r="AD90" s="198"/>
      <c r="AE90" s="198"/>
      <c r="AF90" s="198"/>
      <c r="AG90" s="198" t="s">
        <v>437</v>
      </c>
      <c r="AH90" s="195">
        <v>5.5248618784530388</v>
      </c>
      <c r="AI90" s="215"/>
      <c r="AJ90" s="194"/>
      <c r="AK90" s="194"/>
      <c r="AL90" s="194"/>
      <c r="AM90" s="198"/>
      <c r="AN90" s="194"/>
      <c r="AO90" s="194"/>
      <c r="AP90" s="194"/>
      <c r="AQ90" s="205"/>
      <c r="AR90" s="40"/>
      <c r="AS90" s="40"/>
      <c r="AT90" s="40"/>
      <c r="AW90" s="62"/>
      <c r="AX90" s="3"/>
      <c r="AY90" s="3"/>
    </row>
    <row r="91" spans="1:51" ht="15" customHeight="1" x14ac:dyDescent="0.25">
      <c r="A91" s="2"/>
      <c r="B91" s="193"/>
      <c r="C91" s="117"/>
      <c r="D91" s="194"/>
      <c r="E91" s="117"/>
      <c r="F91" s="117"/>
      <c r="G91" s="117"/>
      <c r="H91" s="195"/>
      <c r="I91" s="195"/>
      <c r="J91" s="195"/>
      <c r="K91" s="196"/>
      <c r="L91" s="36"/>
      <c r="M91" s="197"/>
      <c r="N91" s="117"/>
      <c r="O91" s="117"/>
      <c r="P91" s="117"/>
      <c r="Q91" s="117"/>
      <c r="R91" s="117"/>
      <c r="S91" s="117"/>
      <c r="T91" s="195"/>
      <c r="U91" s="196"/>
      <c r="V91" s="36"/>
      <c r="W91" s="199"/>
      <c r="X91" s="198"/>
      <c r="Y91" s="198"/>
      <c r="Z91" s="198"/>
      <c r="AA91" s="198"/>
      <c r="AB91" s="198"/>
      <c r="AC91" s="198"/>
      <c r="AD91" s="198"/>
      <c r="AE91" s="198"/>
      <c r="AF91" s="198"/>
      <c r="AG91" s="198"/>
      <c r="AH91" s="195"/>
      <c r="AI91" s="215"/>
      <c r="AJ91" s="194"/>
      <c r="AK91" s="194"/>
      <c r="AL91" s="194"/>
      <c r="AM91" s="198"/>
      <c r="AN91" s="194"/>
      <c r="AO91" s="194"/>
      <c r="AP91" s="194"/>
      <c r="AQ91" s="205"/>
      <c r="AR91" s="40"/>
      <c r="AS91" s="40"/>
      <c r="AT91" s="40"/>
      <c r="AW91" s="62"/>
      <c r="AX91" s="3"/>
      <c r="AY91" s="3"/>
    </row>
    <row r="92" spans="1:51" s="69" customFormat="1" ht="15" customHeight="1" x14ac:dyDescent="0.25">
      <c r="A92" s="65"/>
      <c r="B92" s="206"/>
      <c r="C92" s="207"/>
      <c r="D92" s="207"/>
      <c r="E92" s="207"/>
      <c r="F92" s="207"/>
      <c r="G92" s="207"/>
      <c r="H92" s="208"/>
      <c r="I92" s="208"/>
      <c r="J92" s="208"/>
      <c r="K92" s="209"/>
      <c r="L92" s="36"/>
      <c r="M92" s="80"/>
      <c r="N92" s="207"/>
      <c r="O92" s="207"/>
      <c r="P92" s="207"/>
      <c r="Q92" s="207"/>
      <c r="R92" s="207"/>
      <c r="S92" s="207"/>
      <c r="T92" s="207"/>
      <c r="U92" s="209"/>
      <c r="V92" s="36"/>
      <c r="W92" s="206"/>
      <c r="X92" s="207"/>
      <c r="Y92" s="207"/>
      <c r="Z92" s="207"/>
      <c r="AA92" s="207"/>
      <c r="AB92" s="207"/>
      <c r="AC92" s="207"/>
      <c r="AD92" s="207"/>
      <c r="AE92" s="207"/>
      <c r="AF92" s="208"/>
      <c r="AG92" s="208"/>
      <c r="AH92" s="208"/>
      <c r="AI92" s="206"/>
      <c r="AJ92" s="207"/>
      <c r="AK92" s="207"/>
      <c r="AL92" s="207"/>
      <c r="AM92" s="233"/>
      <c r="AN92" s="207"/>
      <c r="AO92" s="207"/>
      <c r="AP92" s="207"/>
      <c r="AQ92" s="210"/>
      <c r="AR92" s="40"/>
      <c r="AS92" s="40"/>
      <c r="AT92" s="40"/>
      <c r="AU92" s="234"/>
      <c r="AV92" s="234"/>
      <c r="AW92" s="62"/>
      <c r="AX92" s="3"/>
      <c r="AY92" s="3"/>
    </row>
    <row r="93" spans="1:51" s="69" customFormat="1" ht="15" customHeight="1" x14ac:dyDescent="0.25">
      <c r="A93" s="65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222"/>
      <c r="AG93" s="223"/>
      <c r="AH93" s="223"/>
      <c r="AI93" s="223"/>
      <c r="AJ93" s="223"/>
      <c r="AK93" s="223"/>
      <c r="AL93" s="223"/>
      <c r="AM93" s="223"/>
      <c r="AN93" s="223"/>
      <c r="AO93" s="223"/>
      <c r="AP93" s="223"/>
      <c r="AQ93" s="223"/>
      <c r="AR93" s="40"/>
      <c r="AS93" s="40"/>
      <c r="AT93" s="40"/>
      <c r="AU93" s="234"/>
      <c r="AV93" s="234"/>
      <c r="AW93" s="62"/>
      <c r="AX93" s="3"/>
      <c r="AY93" s="3"/>
    </row>
    <row r="94" spans="1:51" ht="15" customHeight="1" x14ac:dyDescent="0.25">
      <c r="A94" s="2"/>
      <c r="B94" s="191" t="s">
        <v>370</v>
      </c>
      <c r="C94" s="66"/>
      <c r="D94" s="66"/>
      <c r="E94" s="66"/>
      <c r="F94" s="66" t="s">
        <v>351</v>
      </c>
      <c r="G94" s="66" t="s">
        <v>3</v>
      </c>
      <c r="H94" s="66" t="s">
        <v>5</v>
      </c>
      <c r="I94" s="66" t="s">
        <v>6</v>
      </c>
      <c r="J94" s="66" t="s">
        <v>259</v>
      </c>
      <c r="K94" s="192" t="s">
        <v>17</v>
      </c>
      <c r="L94" s="36"/>
      <c r="M94" s="221" t="s">
        <v>516</v>
      </c>
      <c r="N94" s="67"/>
      <c r="O94" s="67"/>
      <c r="P94" s="66" t="s">
        <v>3</v>
      </c>
      <c r="Q94" s="66" t="s">
        <v>5</v>
      </c>
      <c r="R94" s="66" t="s">
        <v>6</v>
      </c>
      <c r="S94" s="66" t="s">
        <v>259</v>
      </c>
      <c r="T94" s="67"/>
      <c r="U94" s="192" t="s">
        <v>17</v>
      </c>
      <c r="V94" s="36"/>
      <c r="W94" s="221" t="s">
        <v>402</v>
      </c>
      <c r="X94" s="67"/>
      <c r="Y94" s="67"/>
      <c r="Z94" s="67"/>
      <c r="AA94" s="67"/>
      <c r="AB94" s="67"/>
      <c r="AC94" s="67"/>
      <c r="AD94" s="67"/>
      <c r="AE94" s="67"/>
      <c r="AF94" s="224"/>
      <c r="AG94" s="224"/>
      <c r="AH94" s="224"/>
      <c r="AI94" s="221" t="s">
        <v>475</v>
      </c>
      <c r="AJ94" s="66"/>
      <c r="AK94" s="68"/>
      <c r="AL94" s="68"/>
      <c r="AM94" s="67"/>
      <c r="AN94" s="67"/>
      <c r="AO94" s="67"/>
      <c r="AP94" s="67"/>
      <c r="AQ94" s="259"/>
      <c r="AR94" s="40"/>
      <c r="AS94" s="40"/>
      <c r="AT94" s="40"/>
      <c r="AW94" s="62"/>
      <c r="AX94" s="3"/>
      <c r="AY94" s="3"/>
    </row>
    <row r="95" spans="1:51" ht="15" customHeight="1" x14ac:dyDescent="0.25">
      <c r="A95" s="2"/>
      <c r="B95" s="193">
        <v>1999</v>
      </c>
      <c r="C95" s="117" t="s">
        <v>34</v>
      </c>
      <c r="D95" s="194" t="s">
        <v>35</v>
      </c>
      <c r="E95" s="117"/>
      <c r="F95" s="117">
        <v>19</v>
      </c>
      <c r="G95" s="117">
        <v>10</v>
      </c>
      <c r="H95" s="195">
        <v>0.2</v>
      </c>
      <c r="I95" s="195">
        <v>0.1</v>
      </c>
      <c r="J95" s="195">
        <v>0.3</v>
      </c>
      <c r="K95" s="196">
        <v>2</v>
      </c>
      <c r="L95" s="36"/>
      <c r="M95" s="197" t="s">
        <v>347</v>
      </c>
      <c r="N95" s="117"/>
      <c r="O95" s="117"/>
      <c r="P95" s="117" t="s">
        <v>564</v>
      </c>
      <c r="Q95" s="117" t="s">
        <v>565</v>
      </c>
      <c r="R95" s="117" t="s">
        <v>566</v>
      </c>
      <c r="S95" s="117" t="s">
        <v>567</v>
      </c>
      <c r="T95" s="204"/>
      <c r="U95" s="203" t="s">
        <v>568</v>
      </c>
      <c r="V95" s="36"/>
      <c r="W95" s="197" t="s">
        <v>260</v>
      </c>
      <c r="X95" s="198"/>
      <c r="Y95" s="194"/>
      <c r="Z95" s="194"/>
      <c r="AA95" s="194"/>
      <c r="AB95" s="194"/>
      <c r="AC95" s="194"/>
      <c r="AD95" s="194"/>
      <c r="AE95" s="194"/>
      <c r="AF95" s="204"/>
      <c r="AG95" s="204"/>
      <c r="AH95" s="204"/>
      <c r="AI95" s="238">
        <v>41126</v>
      </c>
      <c r="AJ95" s="194" t="s">
        <v>484</v>
      </c>
      <c r="AK95" s="117"/>
      <c r="AL95" s="117"/>
      <c r="AM95" s="117">
        <v>2</v>
      </c>
      <c r="AN95" s="117"/>
      <c r="AO95" s="194"/>
      <c r="AP95" s="194"/>
      <c r="AQ95" s="205"/>
      <c r="AR95" s="40"/>
      <c r="AS95" s="40"/>
      <c r="AT95" s="40"/>
      <c r="AW95" s="62"/>
      <c r="AX95" s="3"/>
      <c r="AY95" s="3"/>
    </row>
    <row r="96" spans="1:51" ht="15" customHeight="1" x14ac:dyDescent="0.25">
      <c r="A96" s="2"/>
      <c r="B96" s="193">
        <v>2000</v>
      </c>
      <c r="C96" s="117" t="s">
        <v>36</v>
      </c>
      <c r="D96" s="194" t="s">
        <v>35</v>
      </c>
      <c r="E96" s="117"/>
      <c r="F96" s="117">
        <f>PRODUCT(F95+1)</f>
        <v>20</v>
      </c>
      <c r="G96" s="117">
        <v>10</v>
      </c>
      <c r="H96" s="195">
        <v>0.5</v>
      </c>
      <c r="I96" s="195">
        <v>0.7</v>
      </c>
      <c r="J96" s="195">
        <v>1.2</v>
      </c>
      <c r="K96" s="196">
        <v>3.4</v>
      </c>
      <c r="L96" s="36"/>
      <c r="M96" s="197" t="s">
        <v>270</v>
      </c>
      <c r="N96" s="117"/>
      <c r="O96" s="117"/>
      <c r="P96" s="117" t="s">
        <v>569</v>
      </c>
      <c r="Q96" s="117" t="s">
        <v>570</v>
      </c>
      <c r="R96" s="117" t="s">
        <v>569</v>
      </c>
      <c r="S96" s="117" t="s">
        <v>571</v>
      </c>
      <c r="T96" s="204"/>
      <c r="U96" s="203" t="s">
        <v>572</v>
      </c>
      <c r="V96" s="36"/>
      <c r="W96" s="199" t="s">
        <v>267</v>
      </c>
      <c r="X96" s="194"/>
      <c r="Y96" s="198" t="s">
        <v>372</v>
      </c>
      <c r="Z96" s="194"/>
      <c r="AA96" s="194"/>
      <c r="AB96" s="194"/>
      <c r="AC96" s="194"/>
      <c r="AD96" s="194"/>
      <c r="AE96" s="194"/>
      <c r="AF96" s="204"/>
      <c r="AG96" s="194" t="s">
        <v>337</v>
      </c>
      <c r="AH96" s="204"/>
      <c r="AI96" s="238">
        <v>42549</v>
      </c>
      <c r="AJ96" s="194" t="s">
        <v>485</v>
      </c>
      <c r="AK96" s="117"/>
      <c r="AL96" s="117"/>
      <c r="AM96" s="117">
        <v>2</v>
      </c>
      <c r="AN96" s="117"/>
      <c r="AO96" s="194"/>
      <c r="AP96" s="194"/>
      <c r="AQ96" s="205"/>
      <c r="AR96" s="40"/>
      <c r="AS96" s="40"/>
      <c r="AT96" s="40"/>
      <c r="AW96" s="62"/>
      <c r="AX96" s="62"/>
      <c r="AY96" s="3"/>
    </row>
    <row r="97" spans="1:51" ht="15" customHeight="1" x14ac:dyDescent="0.25">
      <c r="A97" s="2"/>
      <c r="B97" s="193">
        <v>2001</v>
      </c>
      <c r="C97" s="117" t="s">
        <v>36</v>
      </c>
      <c r="D97" s="194" t="s">
        <v>35</v>
      </c>
      <c r="E97" s="117"/>
      <c r="F97" s="117">
        <f t="shared" ref="F97:F116" si="7">PRODUCT(F96+1)</f>
        <v>21</v>
      </c>
      <c r="G97" s="117">
        <v>10</v>
      </c>
      <c r="H97" s="195">
        <v>1.4</v>
      </c>
      <c r="I97" s="226">
        <v>0.8</v>
      </c>
      <c r="J97" s="195">
        <v>2.2000000000000002</v>
      </c>
      <c r="K97" s="196">
        <v>3.6</v>
      </c>
      <c r="L97" s="36"/>
      <c r="M97" s="197" t="s">
        <v>272</v>
      </c>
      <c r="N97" s="117"/>
      <c r="O97" s="117"/>
      <c r="P97" s="117" t="s">
        <v>573</v>
      </c>
      <c r="Q97" s="117" t="s">
        <v>348</v>
      </c>
      <c r="R97" s="117" t="s">
        <v>361</v>
      </c>
      <c r="S97" s="117" t="s">
        <v>362</v>
      </c>
      <c r="T97" s="204"/>
      <c r="U97" s="203" t="s">
        <v>574</v>
      </c>
      <c r="V97" s="36"/>
      <c r="W97" s="193"/>
      <c r="X97" s="198"/>
      <c r="Y97" s="198"/>
      <c r="Z97" s="194"/>
      <c r="AA97" s="194"/>
      <c r="AB97" s="194"/>
      <c r="AC97" s="194"/>
      <c r="AD97" s="194"/>
      <c r="AE97" s="194"/>
      <c r="AF97" s="204"/>
      <c r="AG97" s="194"/>
      <c r="AH97" s="204"/>
      <c r="AI97" s="238">
        <v>43298</v>
      </c>
      <c r="AJ97" s="194" t="s">
        <v>486</v>
      </c>
      <c r="AK97" s="117"/>
      <c r="AL97" s="117"/>
      <c r="AM97" s="117">
        <v>2</v>
      </c>
      <c r="AN97" s="117"/>
      <c r="AO97" s="194"/>
      <c r="AP97" s="194"/>
      <c r="AQ97" s="205"/>
      <c r="AR97" s="40"/>
      <c r="AS97" s="40"/>
      <c r="AT97" s="40"/>
      <c r="AW97" s="62"/>
      <c r="AX97" s="62"/>
      <c r="AY97" s="3"/>
    </row>
    <row r="98" spans="1:51" ht="15" customHeight="1" x14ac:dyDescent="0.25">
      <c r="A98" s="2"/>
      <c r="B98" s="193">
        <v>2002</v>
      </c>
      <c r="C98" s="117" t="s">
        <v>37</v>
      </c>
      <c r="D98" s="194" t="s">
        <v>35</v>
      </c>
      <c r="E98" s="117"/>
      <c r="F98" s="117">
        <f t="shared" si="7"/>
        <v>22</v>
      </c>
      <c r="G98" s="117">
        <v>8</v>
      </c>
      <c r="H98" s="195">
        <v>1.75</v>
      </c>
      <c r="I98" s="195">
        <v>0.375</v>
      </c>
      <c r="J98" s="195">
        <v>2.125</v>
      </c>
      <c r="K98" s="196">
        <v>4.625</v>
      </c>
      <c r="L98" s="36"/>
      <c r="M98" s="197" t="s">
        <v>274</v>
      </c>
      <c r="N98" s="117"/>
      <c r="O98" s="117"/>
      <c r="P98" s="117" t="s">
        <v>345</v>
      </c>
      <c r="Q98" s="117" t="s">
        <v>349</v>
      </c>
      <c r="R98" s="117" t="s">
        <v>360</v>
      </c>
      <c r="S98" s="117" t="s">
        <v>363</v>
      </c>
      <c r="T98" s="204"/>
      <c r="U98" s="203" t="s">
        <v>365</v>
      </c>
      <c r="V98" s="36"/>
      <c r="W98" s="199" t="s">
        <v>263</v>
      </c>
      <c r="X98" s="198"/>
      <c r="Y98" s="198"/>
      <c r="Z98" s="194"/>
      <c r="AA98" s="194"/>
      <c r="AB98" s="194"/>
      <c r="AC98" s="194"/>
      <c r="AD98" s="194"/>
      <c r="AE98" s="194"/>
      <c r="AF98" s="204"/>
      <c r="AG98" s="194"/>
      <c r="AH98" s="204"/>
      <c r="AI98" s="238">
        <v>43667</v>
      </c>
      <c r="AJ98" s="194" t="s">
        <v>487</v>
      </c>
      <c r="AK98" s="117"/>
      <c r="AL98" s="117"/>
      <c r="AM98" s="117">
        <v>2</v>
      </c>
      <c r="AN98" s="117"/>
      <c r="AO98" s="194"/>
      <c r="AP98" s="194"/>
      <c r="AQ98" s="205"/>
      <c r="AR98" s="40"/>
      <c r="AS98" s="40"/>
      <c r="AT98" s="40"/>
      <c r="AW98" s="62"/>
      <c r="AX98" s="62"/>
      <c r="AY98" s="3"/>
    </row>
    <row r="99" spans="1:51" ht="15" customHeight="1" x14ac:dyDescent="0.25">
      <c r="A99" s="2"/>
      <c r="B99" s="193">
        <v>2003</v>
      </c>
      <c r="C99" s="117" t="s">
        <v>38</v>
      </c>
      <c r="D99" s="194" t="s">
        <v>35</v>
      </c>
      <c r="E99" s="117"/>
      <c r="F99" s="117">
        <f t="shared" si="7"/>
        <v>23</v>
      </c>
      <c r="G99" s="117">
        <v>7</v>
      </c>
      <c r="H99" s="195">
        <v>2</v>
      </c>
      <c r="I99" s="195">
        <v>0.42857142857142855</v>
      </c>
      <c r="J99" s="195">
        <v>2.4285714285714284</v>
      </c>
      <c r="K99" s="196">
        <v>4</v>
      </c>
      <c r="L99" s="36"/>
      <c r="M99" s="197" t="s">
        <v>276</v>
      </c>
      <c r="N99" s="117"/>
      <c r="O99" s="117"/>
      <c r="P99" s="117" t="s">
        <v>344</v>
      </c>
      <c r="Q99" s="117" t="s">
        <v>223</v>
      </c>
      <c r="R99" s="117" t="s">
        <v>359</v>
      </c>
      <c r="S99" s="117" t="s">
        <v>364</v>
      </c>
      <c r="T99" s="204"/>
      <c r="U99" s="203" t="s">
        <v>366</v>
      </c>
      <c r="V99" s="36"/>
      <c r="W99" s="199" t="s">
        <v>267</v>
      </c>
      <c r="X99" s="198"/>
      <c r="Y99" s="198" t="s">
        <v>341</v>
      </c>
      <c r="Z99" s="194"/>
      <c r="AA99" s="194"/>
      <c r="AB99" s="194"/>
      <c r="AC99" s="194"/>
      <c r="AD99" s="194"/>
      <c r="AE99" s="194"/>
      <c r="AF99" s="194"/>
      <c r="AG99" s="194" t="s">
        <v>340</v>
      </c>
      <c r="AH99" s="195">
        <f>PRODUCT(100/103)</f>
        <v>0.970873786407767</v>
      </c>
      <c r="AI99" s="238">
        <v>44031</v>
      </c>
      <c r="AJ99" s="194" t="s">
        <v>488</v>
      </c>
      <c r="AK99" s="117"/>
      <c r="AL99" s="117"/>
      <c r="AM99" s="117">
        <v>2</v>
      </c>
      <c r="AN99" s="117"/>
      <c r="AO99" s="194"/>
      <c r="AP99" s="194"/>
      <c r="AQ99" s="205"/>
      <c r="AR99" s="40"/>
      <c r="AS99" s="40"/>
      <c r="AT99" s="40"/>
      <c r="AW99" s="62"/>
      <c r="AX99" s="62"/>
      <c r="AY99" s="3"/>
    </row>
    <row r="100" spans="1:51" ht="15" customHeight="1" x14ac:dyDescent="0.25">
      <c r="A100" s="2"/>
      <c r="B100" s="193">
        <v>2004</v>
      </c>
      <c r="C100" s="117" t="s">
        <v>36</v>
      </c>
      <c r="D100" s="194" t="s">
        <v>35</v>
      </c>
      <c r="E100" s="117"/>
      <c r="F100" s="117">
        <f t="shared" si="7"/>
        <v>24</v>
      </c>
      <c r="G100" s="117">
        <v>14</v>
      </c>
      <c r="H100" s="195">
        <v>1.1428571428571428</v>
      </c>
      <c r="I100" s="195">
        <v>0.5</v>
      </c>
      <c r="J100" s="195">
        <v>1.6428571428571428</v>
      </c>
      <c r="K100" s="196">
        <v>4.7857142857142856</v>
      </c>
      <c r="L100" s="36"/>
      <c r="M100" s="197" t="s">
        <v>278</v>
      </c>
      <c r="N100" s="117"/>
      <c r="O100" s="117"/>
      <c r="P100" s="117" t="s">
        <v>255</v>
      </c>
      <c r="Q100" s="117" t="s">
        <v>230</v>
      </c>
      <c r="R100" s="117" t="s">
        <v>358</v>
      </c>
      <c r="S100" s="117" t="s">
        <v>217</v>
      </c>
      <c r="T100" s="204"/>
      <c r="U100" s="203" t="s">
        <v>367</v>
      </c>
      <c r="V100" s="36"/>
      <c r="W100" s="199" t="s">
        <v>268</v>
      </c>
      <c r="X100" s="198"/>
      <c r="Y100" s="198" t="s">
        <v>339</v>
      </c>
      <c r="Z100" s="194"/>
      <c r="AA100" s="194"/>
      <c r="AB100" s="194"/>
      <c r="AC100" s="194"/>
      <c r="AD100" s="194"/>
      <c r="AE100" s="194"/>
      <c r="AF100" s="194"/>
      <c r="AG100" s="194" t="s">
        <v>338</v>
      </c>
      <c r="AH100" s="195">
        <f>PRODUCT(200/153)</f>
        <v>1.3071895424836601</v>
      </c>
      <c r="AI100" s="215"/>
      <c r="AJ100" s="194"/>
      <c r="AK100" s="194"/>
      <c r="AL100" s="194"/>
      <c r="AM100" s="198"/>
      <c r="AN100" s="194"/>
      <c r="AO100" s="194"/>
      <c r="AP100" s="194"/>
      <c r="AQ100" s="205"/>
      <c r="AR100" s="40"/>
      <c r="AS100" s="40"/>
      <c r="AT100" s="40"/>
      <c r="AW100" s="62"/>
      <c r="AX100" s="62"/>
      <c r="AY100" s="3"/>
    </row>
    <row r="101" spans="1:51" ht="15" customHeight="1" x14ac:dyDescent="0.25">
      <c r="A101" s="2"/>
      <c r="B101" s="193">
        <v>2005</v>
      </c>
      <c r="C101" s="117" t="s">
        <v>36</v>
      </c>
      <c r="D101" s="194" t="s">
        <v>35</v>
      </c>
      <c r="E101" s="117"/>
      <c r="F101" s="117">
        <f t="shared" si="7"/>
        <v>25</v>
      </c>
      <c r="G101" s="201">
        <v>14</v>
      </c>
      <c r="H101" s="195">
        <v>0.5</v>
      </c>
      <c r="I101" s="195">
        <v>0.7857142857142857</v>
      </c>
      <c r="J101" s="195">
        <v>1.2857142857142858</v>
      </c>
      <c r="K101" s="196">
        <v>6.2857142857142856</v>
      </c>
      <c r="L101" s="36"/>
      <c r="M101" s="197" t="s">
        <v>280</v>
      </c>
      <c r="N101" s="117"/>
      <c r="O101" s="117"/>
      <c r="P101" s="117" t="s">
        <v>343</v>
      </c>
      <c r="Q101" s="117" t="s">
        <v>222</v>
      </c>
      <c r="R101" s="117" t="s">
        <v>357</v>
      </c>
      <c r="S101" s="117" t="s">
        <v>219</v>
      </c>
      <c r="T101" s="204"/>
      <c r="U101" s="203" t="s">
        <v>368</v>
      </c>
      <c r="V101" s="36"/>
      <c r="W101" s="199"/>
      <c r="X101" s="198"/>
      <c r="Y101" s="194"/>
      <c r="Z101" s="194"/>
      <c r="AA101" s="194"/>
      <c r="AB101" s="194"/>
      <c r="AC101" s="194"/>
      <c r="AD101" s="194"/>
      <c r="AE101" s="194"/>
      <c r="AF101" s="194"/>
      <c r="AG101" s="194"/>
      <c r="AH101" s="200"/>
      <c r="AI101" s="215"/>
      <c r="AJ101" s="194"/>
      <c r="AK101" s="194"/>
      <c r="AL101" s="194"/>
      <c r="AM101" s="198"/>
      <c r="AN101" s="194"/>
      <c r="AO101" s="194"/>
      <c r="AP101" s="194"/>
      <c r="AQ101" s="205"/>
      <c r="AR101" s="40"/>
      <c r="AS101" s="40"/>
      <c r="AT101" s="40"/>
      <c r="AW101" s="62"/>
      <c r="AX101" s="62"/>
      <c r="AY101" s="3"/>
    </row>
    <row r="102" spans="1:51" ht="15" customHeight="1" x14ac:dyDescent="0.25">
      <c r="A102" s="2"/>
      <c r="B102" s="193">
        <v>2006</v>
      </c>
      <c r="C102" s="117" t="s">
        <v>39</v>
      </c>
      <c r="D102" s="194" t="s">
        <v>35</v>
      </c>
      <c r="E102" s="117"/>
      <c r="F102" s="117">
        <f t="shared" si="7"/>
        <v>26</v>
      </c>
      <c r="G102" s="117">
        <v>7</v>
      </c>
      <c r="H102" s="195">
        <v>1.2857142857142858</v>
      </c>
      <c r="I102" s="195">
        <v>0.14285714285714285</v>
      </c>
      <c r="J102" s="195">
        <v>1.4285714285714286</v>
      </c>
      <c r="K102" s="196">
        <v>4.5714285714285712</v>
      </c>
      <c r="L102" s="36"/>
      <c r="M102" s="197" t="s">
        <v>282</v>
      </c>
      <c r="N102" s="117"/>
      <c r="O102" s="117"/>
      <c r="P102" s="117" t="s">
        <v>225</v>
      </c>
      <c r="Q102" s="117" t="s">
        <v>230</v>
      </c>
      <c r="R102" s="117" t="s">
        <v>356</v>
      </c>
      <c r="S102" s="117" t="s">
        <v>342</v>
      </c>
      <c r="T102" s="204"/>
      <c r="U102" s="203" t="s">
        <v>368</v>
      </c>
      <c r="V102" s="36"/>
      <c r="W102" s="197" t="s">
        <v>373</v>
      </c>
      <c r="X102" s="198"/>
      <c r="Y102" s="194"/>
      <c r="Z102" s="194"/>
      <c r="AA102" s="194"/>
      <c r="AB102" s="194"/>
      <c r="AC102" s="194"/>
      <c r="AD102" s="194"/>
      <c r="AE102" s="198"/>
      <c r="AF102" s="204"/>
      <c r="AG102" s="204"/>
      <c r="AH102" s="200"/>
      <c r="AI102" s="215"/>
      <c r="AJ102" s="194"/>
      <c r="AK102" s="194"/>
      <c r="AL102" s="194"/>
      <c r="AM102" s="198"/>
      <c r="AN102" s="194"/>
      <c r="AO102" s="194"/>
      <c r="AP102" s="194"/>
      <c r="AQ102" s="205"/>
      <c r="AR102" s="40"/>
      <c r="AS102" s="40"/>
      <c r="AT102" s="40"/>
      <c r="AW102" s="62"/>
      <c r="AX102" s="62"/>
    </row>
    <row r="103" spans="1:51" ht="15" customHeight="1" x14ac:dyDescent="0.25">
      <c r="A103" s="2"/>
      <c r="B103" s="193">
        <v>2007</v>
      </c>
      <c r="C103" s="117" t="s">
        <v>40</v>
      </c>
      <c r="D103" s="194" t="s">
        <v>35</v>
      </c>
      <c r="E103" s="117"/>
      <c r="F103" s="117">
        <f t="shared" si="7"/>
        <v>27</v>
      </c>
      <c r="G103" s="201">
        <v>16</v>
      </c>
      <c r="H103" s="195">
        <v>1.0625</v>
      </c>
      <c r="I103" s="195">
        <v>0.75</v>
      </c>
      <c r="J103" s="195">
        <v>1.8125</v>
      </c>
      <c r="K103" s="196">
        <v>6.4375</v>
      </c>
      <c r="L103" s="36"/>
      <c r="M103" s="197" t="s">
        <v>284</v>
      </c>
      <c r="N103" s="117"/>
      <c r="O103" s="117"/>
      <c r="P103" s="117" t="s">
        <v>229</v>
      </c>
      <c r="Q103" s="117" t="s">
        <v>350</v>
      </c>
      <c r="R103" s="117" t="s">
        <v>355</v>
      </c>
      <c r="S103" s="117" t="s">
        <v>229</v>
      </c>
      <c r="T103" s="204"/>
      <c r="U103" s="203" t="s">
        <v>222</v>
      </c>
      <c r="V103" s="36"/>
      <c r="W103" s="199" t="s">
        <v>267</v>
      </c>
      <c r="X103" s="225"/>
      <c r="Y103" s="198" t="s">
        <v>381</v>
      </c>
      <c r="Z103" s="194"/>
      <c r="AA103" s="194"/>
      <c r="AB103" s="194"/>
      <c r="AC103" s="194"/>
      <c r="AD103" s="194"/>
      <c r="AE103" s="198"/>
      <c r="AF103" s="204"/>
      <c r="AG103" s="198" t="s">
        <v>379</v>
      </c>
      <c r="AH103" s="195">
        <v>1.639344262295082</v>
      </c>
      <c r="AI103" s="215"/>
      <c r="AJ103" s="194"/>
      <c r="AK103" s="194"/>
      <c r="AL103" s="194"/>
      <c r="AM103" s="198"/>
      <c r="AN103" s="194"/>
      <c r="AO103" s="194"/>
      <c r="AP103" s="194"/>
      <c r="AQ103" s="205"/>
      <c r="AR103" s="40"/>
      <c r="AS103" s="40"/>
      <c r="AT103" s="40"/>
      <c r="AW103" s="62"/>
      <c r="AX103" s="62"/>
    </row>
    <row r="104" spans="1:51" ht="15" customHeight="1" x14ac:dyDescent="0.25">
      <c r="A104" s="2"/>
      <c r="B104" s="193">
        <v>2008</v>
      </c>
      <c r="C104" s="117" t="s">
        <v>39</v>
      </c>
      <c r="D104" s="194" t="s">
        <v>35</v>
      </c>
      <c r="E104" s="117"/>
      <c r="F104" s="117">
        <f t="shared" si="7"/>
        <v>28</v>
      </c>
      <c r="G104" s="117">
        <v>3</v>
      </c>
      <c r="H104" s="195">
        <v>0.33333333333333331</v>
      </c>
      <c r="I104" s="195">
        <v>0.66666666666666663</v>
      </c>
      <c r="J104" s="195">
        <v>1</v>
      </c>
      <c r="K104" s="196">
        <v>4.666666666666667</v>
      </c>
      <c r="L104" s="36"/>
      <c r="M104" s="197" t="s">
        <v>286</v>
      </c>
      <c r="N104" s="117"/>
      <c r="O104" s="117"/>
      <c r="P104" s="117" t="s">
        <v>227</v>
      </c>
      <c r="Q104" s="117" t="s">
        <v>230</v>
      </c>
      <c r="R104" s="117" t="s">
        <v>354</v>
      </c>
      <c r="S104" s="117" t="s">
        <v>221</v>
      </c>
      <c r="T104" s="204"/>
      <c r="U104" s="203" t="s">
        <v>221</v>
      </c>
      <c r="V104" s="36"/>
      <c r="W104" s="199" t="s">
        <v>268</v>
      </c>
      <c r="X104" s="225"/>
      <c r="Y104" s="198" t="s">
        <v>382</v>
      </c>
      <c r="Z104" s="194"/>
      <c r="AA104" s="194"/>
      <c r="AB104" s="194"/>
      <c r="AC104" s="194"/>
      <c r="AD104" s="194"/>
      <c r="AE104" s="198"/>
      <c r="AF104" s="204"/>
      <c r="AG104" s="198" t="s">
        <v>380</v>
      </c>
      <c r="AH104" s="195">
        <v>1.6260162601626016</v>
      </c>
      <c r="AI104" s="215"/>
      <c r="AJ104" s="194"/>
      <c r="AK104" s="194"/>
      <c r="AL104" s="194"/>
      <c r="AM104" s="198"/>
      <c r="AN104" s="194"/>
      <c r="AO104" s="194"/>
      <c r="AP104" s="194"/>
      <c r="AQ104" s="205"/>
      <c r="AR104" s="40"/>
      <c r="AS104" s="40"/>
      <c r="AT104" s="40"/>
      <c r="AW104" s="62"/>
      <c r="AX104" s="62"/>
    </row>
    <row r="105" spans="1:51" ht="15" customHeight="1" x14ac:dyDescent="0.25">
      <c r="A105" s="2"/>
      <c r="B105" s="193">
        <v>2009</v>
      </c>
      <c r="C105" s="117" t="s">
        <v>41</v>
      </c>
      <c r="D105" s="194" t="s">
        <v>35</v>
      </c>
      <c r="E105" s="117"/>
      <c r="F105" s="117">
        <f t="shared" si="7"/>
        <v>29</v>
      </c>
      <c r="G105" s="117">
        <v>5</v>
      </c>
      <c r="H105" s="195">
        <v>0.8</v>
      </c>
      <c r="I105" s="195">
        <v>0.8</v>
      </c>
      <c r="J105" s="195">
        <v>1.6</v>
      </c>
      <c r="K105" s="196">
        <v>6</v>
      </c>
      <c r="L105" s="36"/>
      <c r="M105" s="197" t="s">
        <v>288</v>
      </c>
      <c r="N105" s="117"/>
      <c r="O105" s="117"/>
      <c r="P105" s="117" t="s">
        <v>218</v>
      </c>
      <c r="Q105" s="117" t="s">
        <v>50</v>
      </c>
      <c r="R105" s="117" t="s">
        <v>258</v>
      </c>
      <c r="S105" s="117" t="s">
        <v>221</v>
      </c>
      <c r="T105" s="204"/>
      <c r="U105" s="203" t="s">
        <v>226</v>
      </c>
      <c r="V105" s="36"/>
      <c r="W105" s="199" t="s">
        <v>261</v>
      </c>
      <c r="X105" s="225"/>
      <c r="Y105" s="198" t="s">
        <v>383</v>
      </c>
      <c r="Z105" s="194"/>
      <c r="AA105" s="194"/>
      <c r="AB105" s="194"/>
      <c r="AC105" s="194"/>
      <c r="AD105" s="194"/>
      <c r="AE105" s="198"/>
      <c r="AF105" s="204"/>
      <c r="AG105" s="198" t="s">
        <v>378</v>
      </c>
      <c r="AH105" s="195">
        <v>1.9736842105263157</v>
      </c>
      <c r="AI105" s="215"/>
      <c r="AJ105" s="194"/>
      <c r="AK105" s="194"/>
      <c r="AL105" s="194"/>
      <c r="AM105" s="198"/>
      <c r="AN105" s="194"/>
      <c r="AO105" s="194"/>
      <c r="AP105" s="194"/>
      <c r="AQ105" s="205"/>
      <c r="AR105" s="40"/>
      <c r="AS105" s="40"/>
      <c r="AT105" s="40"/>
    </row>
    <row r="106" spans="1:51" ht="15" customHeight="1" x14ac:dyDescent="0.25">
      <c r="A106" s="2"/>
      <c r="B106" s="193">
        <v>2010</v>
      </c>
      <c r="C106" s="117" t="s">
        <v>38</v>
      </c>
      <c r="D106" s="194" t="s">
        <v>35</v>
      </c>
      <c r="E106" s="117"/>
      <c r="F106" s="117">
        <f t="shared" si="7"/>
        <v>30</v>
      </c>
      <c r="G106" s="117">
        <v>3</v>
      </c>
      <c r="H106" s="195">
        <v>0.33333333333333331</v>
      </c>
      <c r="I106" s="195">
        <v>0.33333333333333331</v>
      </c>
      <c r="J106" s="195">
        <v>0.66666666666666663</v>
      </c>
      <c r="K106" s="196">
        <v>4.333333333333333</v>
      </c>
      <c r="L106" s="36"/>
      <c r="M106" s="197" t="s">
        <v>290</v>
      </c>
      <c r="N106" s="117"/>
      <c r="O106" s="117"/>
      <c r="P106" s="117" t="s">
        <v>218</v>
      </c>
      <c r="Q106" s="117" t="s">
        <v>50</v>
      </c>
      <c r="R106" s="117" t="s">
        <v>352</v>
      </c>
      <c r="S106" s="117" t="s">
        <v>232</v>
      </c>
      <c r="T106" s="204"/>
      <c r="U106" s="203" t="s">
        <v>226</v>
      </c>
      <c r="V106" s="36"/>
      <c r="W106" s="215"/>
      <c r="X106" s="194"/>
      <c r="Y106" s="194"/>
      <c r="Z106" s="194"/>
      <c r="AA106" s="194"/>
      <c r="AB106" s="194"/>
      <c r="AC106" s="194"/>
      <c r="AD106" s="194"/>
      <c r="AE106" s="194"/>
      <c r="AF106" s="204"/>
      <c r="AG106" s="204"/>
      <c r="AH106" s="204"/>
      <c r="AI106" s="215"/>
      <c r="AJ106" s="194"/>
      <c r="AK106" s="194"/>
      <c r="AL106" s="194"/>
      <c r="AM106" s="198"/>
      <c r="AN106" s="194"/>
      <c r="AO106" s="194"/>
      <c r="AP106" s="194"/>
      <c r="AQ106" s="205"/>
      <c r="AR106" s="40"/>
      <c r="AS106" s="40"/>
      <c r="AT106" s="40"/>
    </row>
    <row r="107" spans="1:51" ht="15" customHeight="1" x14ac:dyDescent="0.25">
      <c r="A107" s="2"/>
      <c r="B107" s="193">
        <v>2011</v>
      </c>
      <c r="C107" s="117" t="s">
        <v>39</v>
      </c>
      <c r="D107" s="194" t="s">
        <v>35</v>
      </c>
      <c r="E107" s="117"/>
      <c r="F107" s="117">
        <f t="shared" si="7"/>
        <v>31</v>
      </c>
      <c r="G107" s="117">
        <v>4</v>
      </c>
      <c r="H107" s="195">
        <v>0.75</v>
      </c>
      <c r="I107" s="195">
        <v>0.75</v>
      </c>
      <c r="J107" s="195">
        <v>1.5</v>
      </c>
      <c r="K107" s="196">
        <v>3.75</v>
      </c>
      <c r="L107" s="36"/>
      <c r="M107" s="197" t="s">
        <v>292</v>
      </c>
      <c r="N107" s="117"/>
      <c r="O107" s="117"/>
      <c r="P107" s="117" t="s">
        <v>342</v>
      </c>
      <c r="Q107" s="117" t="s">
        <v>230</v>
      </c>
      <c r="R107" s="117" t="s">
        <v>258</v>
      </c>
      <c r="S107" s="117" t="s">
        <v>232</v>
      </c>
      <c r="T107" s="204"/>
      <c r="U107" s="203" t="s">
        <v>232</v>
      </c>
      <c r="V107" s="36"/>
      <c r="W107" s="197" t="s">
        <v>375</v>
      </c>
      <c r="X107" s="194"/>
      <c r="Y107" s="194"/>
      <c r="Z107" s="194"/>
      <c r="AA107" s="194"/>
      <c r="AB107" s="194"/>
      <c r="AC107" s="194"/>
      <c r="AD107" s="194"/>
      <c r="AE107" s="194"/>
      <c r="AF107" s="204"/>
      <c r="AG107" s="204"/>
      <c r="AH107" s="204"/>
      <c r="AI107" s="215"/>
      <c r="AJ107" s="194"/>
      <c r="AK107" s="194"/>
      <c r="AL107" s="194"/>
      <c r="AM107" s="198"/>
      <c r="AN107" s="194"/>
      <c r="AO107" s="194"/>
      <c r="AP107" s="194"/>
      <c r="AQ107" s="205"/>
      <c r="AR107" s="40"/>
      <c r="AS107" s="40"/>
      <c r="AT107" s="40"/>
    </row>
    <row r="108" spans="1:51" ht="15" customHeight="1" x14ac:dyDescent="0.25">
      <c r="A108" s="2"/>
      <c r="B108" s="193">
        <v>2012</v>
      </c>
      <c r="C108" s="117" t="s">
        <v>57</v>
      </c>
      <c r="D108" s="194" t="s">
        <v>35</v>
      </c>
      <c r="E108" s="117"/>
      <c r="F108" s="117">
        <f t="shared" si="7"/>
        <v>32</v>
      </c>
      <c r="G108" s="117">
        <v>6</v>
      </c>
      <c r="H108" s="195">
        <v>1.6666666666666667</v>
      </c>
      <c r="I108" s="195">
        <v>0.16666666666666666</v>
      </c>
      <c r="J108" s="195">
        <v>1.8333333333333333</v>
      </c>
      <c r="K108" s="227">
        <v>7.5</v>
      </c>
      <c r="L108" s="36"/>
      <c r="M108" s="197" t="s">
        <v>294</v>
      </c>
      <c r="N108" s="117"/>
      <c r="O108" s="117"/>
      <c r="P108" s="117" t="s">
        <v>218</v>
      </c>
      <c r="Q108" s="117" t="s">
        <v>50</v>
      </c>
      <c r="R108" s="6" t="s">
        <v>343</v>
      </c>
      <c r="S108" s="117" t="s">
        <v>226</v>
      </c>
      <c r="T108" s="204"/>
      <c r="U108" s="203" t="s">
        <v>221</v>
      </c>
      <c r="V108" s="36"/>
      <c r="W108" s="199" t="s">
        <v>265</v>
      </c>
      <c r="X108" s="225"/>
      <c r="Y108" s="198" t="s">
        <v>386</v>
      </c>
      <c r="Z108" s="194"/>
      <c r="AA108" s="194"/>
      <c r="AB108" s="194"/>
      <c r="AC108" s="194"/>
      <c r="AD108" s="194"/>
      <c r="AE108" s="198"/>
      <c r="AF108" s="204"/>
      <c r="AG108" s="198" t="s">
        <v>385</v>
      </c>
      <c r="AH108" s="195">
        <f>PRODUCT(500/106)</f>
        <v>4.716981132075472</v>
      </c>
      <c r="AI108" s="215"/>
      <c r="AJ108" s="194"/>
      <c r="AK108" s="194"/>
      <c r="AL108" s="194"/>
      <c r="AM108" s="198"/>
      <c r="AN108" s="194"/>
      <c r="AO108" s="194"/>
      <c r="AP108" s="194"/>
      <c r="AQ108" s="205"/>
      <c r="AR108" s="40"/>
      <c r="AS108" s="40"/>
      <c r="AT108" s="40"/>
    </row>
    <row r="109" spans="1:51" ht="15" customHeight="1" x14ac:dyDescent="0.25">
      <c r="A109" s="2"/>
      <c r="B109" s="193">
        <v>2013</v>
      </c>
      <c r="C109" s="117" t="s">
        <v>38</v>
      </c>
      <c r="D109" s="194" t="s">
        <v>35</v>
      </c>
      <c r="E109" s="117"/>
      <c r="F109" s="117">
        <f t="shared" si="7"/>
        <v>33</v>
      </c>
      <c r="G109" s="117">
        <v>5</v>
      </c>
      <c r="H109" s="195">
        <v>2</v>
      </c>
      <c r="I109" s="195">
        <v>0.4</v>
      </c>
      <c r="J109" s="195">
        <v>2.4</v>
      </c>
      <c r="K109" s="196">
        <v>7</v>
      </c>
      <c r="L109" s="36"/>
      <c r="M109" s="197" t="s">
        <v>296</v>
      </c>
      <c r="N109" s="117"/>
      <c r="O109" s="117"/>
      <c r="P109" s="117" t="s">
        <v>226</v>
      </c>
      <c r="Q109" s="117" t="s">
        <v>50</v>
      </c>
      <c r="R109" s="117" t="s">
        <v>352</v>
      </c>
      <c r="S109" s="117" t="s">
        <v>229</v>
      </c>
      <c r="T109" s="204"/>
      <c r="U109" s="203" t="s">
        <v>50</v>
      </c>
      <c r="V109" s="36"/>
      <c r="W109" s="199" t="s">
        <v>266</v>
      </c>
      <c r="X109" s="225"/>
      <c r="Y109" s="198" t="s">
        <v>499</v>
      </c>
      <c r="Z109" s="194"/>
      <c r="AA109" s="194"/>
      <c r="AB109" s="194"/>
      <c r="AC109" s="194"/>
      <c r="AD109" s="194"/>
      <c r="AE109" s="198"/>
      <c r="AF109" s="204"/>
      <c r="AG109" s="198" t="s">
        <v>389</v>
      </c>
      <c r="AH109" s="195">
        <v>4.88</v>
      </c>
      <c r="AI109" s="215"/>
      <c r="AJ109" s="194"/>
      <c r="AK109" s="194"/>
      <c r="AL109" s="194"/>
      <c r="AM109" s="198"/>
      <c r="AN109" s="194"/>
      <c r="AO109" s="194"/>
      <c r="AP109" s="194"/>
      <c r="AQ109" s="205"/>
      <c r="AR109" s="40"/>
      <c r="AS109" s="40"/>
      <c r="AT109" s="40"/>
    </row>
    <row r="110" spans="1:51" ht="15" customHeight="1" x14ac:dyDescent="0.25">
      <c r="A110" s="2"/>
      <c r="B110" s="193">
        <v>2014</v>
      </c>
      <c r="C110" s="117" t="s">
        <v>36</v>
      </c>
      <c r="D110" s="194" t="s">
        <v>35</v>
      </c>
      <c r="E110" s="117"/>
      <c r="F110" s="117">
        <f t="shared" si="7"/>
        <v>34</v>
      </c>
      <c r="G110" s="117">
        <v>10</v>
      </c>
      <c r="H110" s="195">
        <v>1.6</v>
      </c>
      <c r="I110" s="195">
        <v>0.3</v>
      </c>
      <c r="J110" s="195">
        <v>1.9</v>
      </c>
      <c r="K110" s="196">
        <v>6</v>
      </c>
      <c r="L110" s="36"/>
      <c r="M110" s="197" t="s">
        <v>298</v>
      </c>
      <c r="N110" s="117"/>
      <c r="O110" s="117"/>
      <c r="P110" s="117" t="s">
        <v>222</v>
      </c>
      <c r="Q110" s="117" t="s">
        <v>350</v>
      </c>
      <c r="R110" s="117" t="s">
        <v>258</v>
      </c>
      <c r="S110" s="117" t="s">
        <v>228</v>
      </c>
      <c r="T110" s="204"/>
      <c r="U110" s="203" t="s">
        <v>182</v>
      </c>
      <c r="V110" s="36"/>
      <c r="W110" s="199" t="s">
        <v>315</v>
      </c>
      <c r="X110" s="225"/>
      <c r="Y110" s="198" t="s">
        <v>387</v>
      </c>
      <c r="Z110" s="194"/>
      <c r="AA110" s="194"/>
      <c r="AB110" s="194"/>
      <c r="AC110" s="194"/>
      <c r="AD110" s="194"/>
      <c r="AE110" s="198"/>
      <c r="AF110" s="204"/>
      <c r="AG110" s="198" t="s">
        <v>390</v>
      </c>
      <c r="AH110" s="195">
        <v>4.97</v>
      </c>
      <c r="AI110" s="215"/>
      <c r="AJ110" s="194"/>
      <c r="AK110" s="194"/>
      <c r="AL110" s="194"/>
      <c r="AM110" s="198"/>
      <c r="AN110" s="194"/>
      <c r="AO110" s="194"/>
      <c r="AP110" s="194"/>
      <c r="AQ110" s="205"/>
      <c r="AR110" s="40"/>
      <c r="AS110" s="40"/>
      <c r="AT110" s="40"/>
    </row>
    <row r="111" spans="1:51" ht="15" customHeight="1" x14ac:dyDescent="0.25">
      <c r="A111" s="2"/>
      <c r="B111" s="193">
        <v>2015</v>
      </c>
      <c r="C111" s="117" t="s">
        <v>39</v>
      </c>
      <c r="D111" s="194" t="s">
        <v>35</v>
      </c>
      <c r="E111" s="117"/>
      <c r="F111" s="117">
        <f t="shared" si="7"/>
        <v>35</v>
      </c>
      <c r="G111" s="117">
        <v>3</v>
      </c>
      <c r="H111" s="195">
        <v>1.6666666666666667</v>
      </c>
      <c r="I111" s="195">
        <v>0.33333333333333331</v>
      </c>
      <c r="J111" s="195">
        <v>2</v>
      </c>
      <c r="K111" s="196">
        <v>5</v>
      </c>
      <c r="L111" s="36"/>
      <c r="M111" s="197" t="s">
        <v>300</v>
      </c>
      <c r="N111" s="117"/>
      <c r="O111" s="117"/>
      <c r="P111" s="117" t="s">
        <v>222</v>
      </c>
      <c r="Q111" s="117" t="s">
        <v>50</v>
      </c>
      <c r="R111" s="117" t="s">
        <v>349</v>
      </c>
      <c r="S111" s="117" t="s">
        <v>228</v>
      </c>
      <c r="T111" s="204"/>
      <c r="U111" s="203" t="s">
        <v>182</v>
      </c>
      <c r="V111" s="36"/>
      <c r="W111" s="199" t="s">
        <v>316</v>
      </c>
      <c r="X111" s="225"/>
      <c r="Y111" s="198" t="s">
        <v>388</v>
      </c>
      <c r="Z111" s="194"/>
      <c r="AA111" s="194"/>
      <c r="AB111" s="194"/>
      <c r="AC111" s="194"/>
      <c r="AD111" s="194"/>
      <c r="AE111" s="198"/>
      <c r="AF111" s="204"/>
      <c r="AG111" s="198" t="s">
        <v>384</v>
      </c>
      <c r="AH111" s="195">
        <f>PRODUCT(800/162)</f>
        <v>4.9382716049382713</v>
      </c>
      <c r="AI111" s="215"/>
      <c r="AJ111" s="194"/>
      <c r="AK111" s="194"/>
      <c r="AL111" s="194"/>
      <c r="AM111" s="198"/>
      <c r="AN111" s="194"/>
      <c r="AO111" s="194"/>
      <c r="AP111" s="194"/>
      <c r="AQ111" s="205"/>
      <c r="AR111" s="40"/>
      <c r="AS111" s="40"/>
      <c r="AT111" s="40"/>
    </row>
    <row r="112" spans="1:51" ht="15" customHeight="1" x14ac:dyDescent="0.25">
      <c r="A112" s="2"/>
      <c r="B112" s="193">
        <v>2016</v>
      </c>
      <c r="C112" s="117" t="s">
        <v>39</v>
      </c>
      <c r="D112" s="194" t="s">
        <v>35</v>
      </c>
      <c r="E112" s="117"/>
      <c r="F112" s="117">
        <f t="shared" si="7"/>
        <v>36</v>
      </c>
      <c r="G112" s="117">
        <v>5</v>
      </c>
      <c r="H112" s="195">
        <v>2</v>
      </c>
      <c r="I112" s="195">
        <v>0.2</v>
      </c>
      <c r="J112" s="195">
        <v>2.2000000000000002</v>
      </c>
      <c r="K112" s="196">
        <v>5.4</v>
      </c>
      <c r="L112" s="36"/>
      <c r="M112" s="197" t="s">
        <v>302</v>
      </c>
      <c r="N112" s="117"/>
      <c r="O112" s="117"/>
      <c r="P112" s="117" t="s">
        <v>228</v>
      </c>
      <c r="Q112" s="117" t="s">
        <v>50</v>
      </c>
      <c r="R112" s="117" t="s">
        <v>353</v>
      </c>
      <c r="S112" s="117" t="s">
        <v>60</v>
      </c>
      <c r="T112" s="204"/>
      <c r="U112" s="203" t="s">
        <v>39</v>
      </c>
      <c r="V112" s="36"/>
      <c r="W112" s="215"/>
      <c r="X112" s="194"/>
      <c r="Y112" s="194"/>
      <c r="Z112" s="194"/>
      <c r="AA112" s="194"/>
      <c r="AB112" s="194"/>
      <c r="AC112" s="194"/>
      <c r="AD112" s="194"/>
      <c r="AE112" s="194"/>
      <c r="AF112" s="194"/>
      <c r="AG112" s="194"/>
      <c r="AH112" s="194"/>
      <c r="AI112" s="215"/>
      <c r="AJ112" s="194"/>
      <c r="AK112" s="194"/>
      <c r="AL112" s="194"/>
      <c r="AM112" s="198"/>
      <c r="AN112" s="194"/>
      <c r="AO112" s="194"/>
      <c r="AP112" s="194"/>
      <c r="AQ112" s="205"/>
      <c r="AR112" s="40"/>
      <c r="AS112" s="40"/>
      <c r="AT112" s="40"/>
    </row>
    <row r="113" spans="1:49" ht="15" customHeight="1" x14ac:dyDescent="0.25">
      <c r="A113" s="2"/>
      <c r="B113" s="193">
        <v>2017</v>
      </c>
      <c r="C113" s="117" t="s">
        <v>36</v>
      </c>
      <c r="D113" s="194" t="s">
        <v>212</v>
      </c>
      <c r="E113" s="117"/>
      <c r="F113" s="117">
        <f t="shared" si="7"/>
        <v>37</v>
      </c>
      <c r="G113" s="117">
        <v>10</v>
      </c>
      <c r="H113" s="195">
        <v>3.2</v>
      </c>
      <c r="I113" s="195">
        <v>0.4</v>
      </c>
      <c r="J113" s="226">
        <v>3.6</v>
      </c>
      <c r="K113" s="196">
        <v>4.5</v>
      </c>
      <c r="L113" s="36"/>
      <c r="M113" s="197" t="s">
        <v>304</v>
      </c>
      <c r="N113" s="117"/>
      <c r="O113" s="117"/>
      <c r="P113" s="117" t="s">
        <v>41</v>
      </c>
      <c r="Q113" s="117" t="s">
        <v>182</v>
      </c>
      <c r="R113" s="117" t="s">
        <v>258</v>
      </c>
      <c r="S113" s="117" t="s">
        <v>182</v>
      </c>
      <c r="T113" s="204"/>
      <c r="U113" s="203" t="s">
        <v>39</v>
      </c>
      <c r="V113" s="36"/>
      <c r="W113" s="215"/>
      <c r="X113" s="194"/>
      <c r="Y113" s="194"/>
      <c r="Z113" s="194"/>
      <c r="AA113" s="194"/>
      <c r="AB113" s="194"/>
      <c r="AC113" s="194"/>
      <c r="AD113" s="194"/>
      <c r="AE113" s="194"/>
      <c r="AF113" s="194"/>
      <c r="AG113" s="194"/>
      <c r="AH113" s="194"/>
      <c r="AI113" s="215"/>
      <c r="AJ113" s="194"/>
      <c r="AK113" s="194"/>
      <c r="AL113" s="194"/>
      <c r="AM113" s="198"/>
      <c r="AN113" s="194"/>
      <c r="AO113" s="194"/>
      <c r="AP113" s="194"/>
      <c r="AQ113" s="205"/>
      <c r="AR113" s="40"/>
      <c r="AS113" s="40"/>
      <c r="AT113" s="40"/>
    </row>
    <row r="114" spans="1:49" ht="15" customHeight="1" x14ac:dyDescent="0.25">
      <c r="A114" s="2"/>
      <c r="B114" s="193">
        <v>2018</v>
      </c>
      <c r="C114" s="117" t="s">
        <v>34</v>
      </c>
      <c r="D114" s="194" t="s">
        <v>212</v>
      </c>
      <c r="E114" s="117"/>
      <c r="F114" s="117">
        <f t="shared" si="7"/>
        <v>38</v>
      </c>
      <c r="G114" s="117">
        <v>12</v>
      </c>
      <c r="H114" s="195">
        <v>3.1666666666666665</v>
      </c>
      <c r="I114" s="195">
        <v>0.25</v>
      </c>
      <c r="J114" s="195">
        <v>3.4166666666666665</v>
      </c>
      <c r="K114" s="196">
        <v>4.916666666666667</v>
      </c>
      <c r="L114" s="36"/>
      <c r="M114" s="197" t="s">
        <v>306</v>
      </c>
      <c r="N114" s="117"/>
      <c r="O114" s="117"/>
      <c r="P114" s="117" t="s">
        <v>39</v>
      </c>
      <c r="Q114" s="117" t="s">
        <v>38</v>
      </c>
      <c r="R114" s="117" t="s">
        <v>352</v>
      </c>
      <c r="S114" s="6" t="s">
        <v>38</v>
      </c>
      <c r="T114" s="228"/>
      <c r="U114" s="229" t="s">
        <v>57</v>
      </c>
      <c r="V114" s="36"/>
      <c r="W114" s="215"/>
      <c r="X114" s="194"/>
      <c r="Y114" s="194"/>
      <c r="Z114" s="194"/>
      <c r="AA114" s="194"/>
      <c r="AB114" s="194"/>
      <c r="AC114" s="194"/>
      <c r="AD114" s="194"/>
      <c r="AE114" s="194"/>
      <c r="AF114" s="194"/>
      <c r="AG114" s="194"/>
      <c r="AH114" s="194"/>
      <c r="AI114" s="215"/>
      <c r="AJ114" s="194"/>
      <c r="AK114" s="194"/>
      <c r="AL114" s="194"/>
      <c r="AM114" s="198"/>
      <c r="AN114" s="194"/>
      <c r="AO114" s="194"/>
      <c r="AP114" s="194"/>
      <c r="AQ114" s="205"/>
      <c r="AR114" s="40"/>
      <c r="AS114" s="40"/>
      <c r="AT114" s="40"/>
    </row>
    <row r="115" spans="1:49" ht="15" customHeight="1" x14ac:dyDescent="0.25">
      <c r="A115" s="2"/>
      <c r="B115" s="193">
        <v>2019</v>
      </c>
      <c r="C115" s="117" t="s">
        <v>38</v>
      </c>
      <c r="D115" s="194" t="s">
        <v>35</v>
      </c>
      <c r="E115" s="117"/>
      <c r="F115" s="117">
        <f t="shared" si="7"/>
        <v>39</v>
      </c>
      <c r="G115" s="117">
        <v>3</v>
      </c>
      <c r="H115" s="195">
        <v>2</v>
      </c>
      <c r="I115" s="195">
        <v>0</v>
      </c>
      <c r="J115" s="195">
        <v>2</v>
      </c>
      <c r="K115" s="196">
        <v>3</v>
      </c>
      <c r="L115" s="36"/>
      <c r="M115" s="197" t="s">
        <v>308</v>
      </c>
      <c r="N115" s="117"/>
      <c r="O115" s="117"/>
      <c r="P115" s="6" t="s">
        <v>57</v>
      </c>
      <c r="Q115" s="6" t="s">
        <v>36</v>
      </c>
      <c r="R115" s="117" t="s">
        <v>258</v>
      </c>
      <c r="S115" s="117" t="s">
        <v>38</v>
      </c>
      <c r="T115" s="204"/>
      <c r="U115" s="203" t="s">
        <v>39</v>
      </c>
      <c r="V115" s="36"/>
      <c r="W115" s="215"/>
      <c r="X115" s="194"/>
      <c r="Y115" s="194"/>
      <c r="Z115" s="194"/>
      <c r="AA115" s="194"/>
      <c r="AB115" s="194"/>
      <c r="AC115" s="194"/>
      <c r="AD115" s="194"/>
      <c r="AE115" s="194"/>
      <c r="AF115" s="194"/>
      <c r="AG115" s="194"/>
      <c r="AH115" s="194"/>
      <c r="AI115" s="215"/>
      <c r="AJ115" s="194"/>
      <c r="AK115" s="194"/>
      <c r="AL115" s="194"/>
      <c r="AM115" s="198"/>
      <c r="AN115" s="194"/>
      <c r="AO115" s="194"/>
      <c r="AP115" s="194"/>
      <c r="AQ115" s="205"/>
      <c r="AR115" s="40"/>
      <c r="AS115" s="40"/>
      <c r="AT115" s="40"/>
    </row>
    <row r="116" spans="1:49" ht="15" customHeight="1" x14ac:dyDescent="0.25">
      <c r="A116" s="2"/>
      <c r="B116" s="193">
        <v>2020</v>
      </c>
      <c r="C116" s="117" t="s">
        <v>57</v>
      </c>
      <c r="D116" s="194" t="s">
        <v>35</v>
      </c>
      <c r="E116" s="117"/>
      <c r="F116" s="117">
        <f t="shared" si="7"/>
        <v>40</v>
      </c>
      <c r="G116" s="117">
        <v>2</v>
      </c>
      <c r="H116" s="226">
        <v>3.5</v>
      </c>
      <c r="I116" s="195">
        <v>0.5</v>
      </c>
      <c r="J116" s="195">
        <v>4</v>
      </c>
      <c r="K116" s="196">
        <v>5</v>
      </c>
      <c r="L116" s="36"/>
      <c r="M116" s="197" t="s">
        <v>452</v>
      </c>
      <c r="N116" s="117"/>
      <c r="O116" s="117"/>
      <c r="P116" s="117" t="s">
        <v>57</v>
      </c>
      <c r="Q116" s="117" t="s">
        <v>36</v>
      </c>
      <c r="R116" s="117" t="s">
        <v>354</v>
      </c>
      <c r="S116" s="117" t="s">
        <v>38</v>
      </c>
      <c r="T116" s="204"/>
      <c r="U116" s="203" t="s">
        <v>57</v>
      </c>
      <c r="V116" s="36"/>
      <c r="W116" s="215"/>
      <c r="X116" s="194"/>
      <c r="Y116" s="194"/>
      <c r="Z116" s="194"/>
      <c r="AA116" s="194"/>
      <c r="AB116" s="194"/>
      <c r="AC116" s="194"/>
      <c r="AD116" s="194"/>
      <c r="AE116" s="194"/>
      <c r="AF116" s="194"/>
      <c r="AG116" s="194"/>
      <c r="AH116" s="194"/>
      <c r="AI116" s="215"/>
      <c r="AJ116" s="194"/>
      <c r="AK116" s="194"/>
      <c r="AL116" s="194"/>
      <c r="AM116" s="198"/>
      <c r="AN116" s="194"/>
      <c r="AO116" s="194"/>
      <c r="AP116" s="194"/>
      <c r="AQ116" s="205"/>
      <c r="AR116" s="40"/>
      <c r="AS116" s="40"/>
      <c r="AT116" s="40"/>
    </row>
    <row r="117" spans="1:49" ht="15" customHeight="1" x14ac:dyDescent="0.25">
      <c r="A117" s="2"/>
      <c r="B117" s="193">
        <v>2021</v>
      </c>
      <c r="C117" s="117" t="s">
        <v>182</v>
      </c>
      <c r="D117" s="194" t="s">
        <v>35</v>
      </c>
      <c r="E117" s="117"/>
      <c r="F117" s="117">
        <v>41</v>
      </c>
      <c r="G117" s="117"/>
      <c r="H117" s="195"/>
      <c r="I117" s="195"/>
      <c r="J117" s="195"/>
      <c r="K117" s="196"/>
      <c r="L117" s="36"/>
      <c r="M117" s="197" t="s">
        <v>476</v>
      </c>
      <c r="N117" s="117"/>
      <c r="O117" s="117"/>
      <c r="P117" s="117" t="s">
        <v>57</v>
      </c>
      <c r="Q117" s="117" t="s">
        <v>36</v>
      </c>
      <c r="R117" s="117" t="s">
        <v>354</v>
      </c>
      <c r="S117" s="117" t="s">
        <v>57</v>
      </c>
      <c r="T117" s="204"/>
      <c r="U117" s="203" t="s">
        <v>57</v>
      </c>
      <c r="V117" s="36"/>
      <c r="W117" s="215"/>
      <c r="X117" s="194"/>
      <c r="Y117" s="194"/>
      <c r="Z117" s="194"/>
      <c r="AA117" s="194"/>
      <c r="AB117" s="194"/>
      <c r="AC117" s="194"/>
      <c r="AD117" s="194"/>
      <c r="AE117" s="194"/>
      <c r="AF117" s="194"/>
      <c r="AG117" s="194"/>
      <c r="AH117" s="194"/>
      <c r="AI117" s="215"/>
      <c r="AJ117" s="194"/>
      <c r="AK117" s="194"/>
      <c r="AL117" s="194"/>
      <c r="AM117" s="198"/>
      <c r="AN117" s="194"/>
      <c r="AO117" s="194"/>
      <c r="AP117" s="194"/>
      <c r="AQ117" s="205"/>
      <c r="AR117" s="40"/>
      <c r="AS117" s="40"/>
      <c r="AT117" s="40"/>
    </row>
    <row r="118" spans="1:49" ht="15" customHeight="1" x14ac:dyDescent="0.25">
      <c r="A118" s="2"/>
      <c r="B118" s="193">
        <v>2022</v>
      </c>
      <c r="C118" s="117" t="s">
        <v>36</v>
      </c>
      <c r="D118" s="194" t="s">
        <v>35</v>
      </c>
      <c r="E118" s="117"/>
      <c r="F118" s="117">
        <v>42</v>
      </c>
      <c r="G118" s="117">
        <v>11</v>
      </c>
      <c r="H118" s="195">
        <f>PRODUCT(8/11)</f>
        <v>0.72727272727272729</v>
      </c>
      <c r="I118" s="195">
        <f>PRODUCT(2/11)</f>
        <v>0.18181818181818182</v>
      </c>
      <c r="J118" s="195">
        <f>PRODUCT(10/11)</f>
        <v>0.90909090909090906</v>
      </c>
      <c r="K118" s="196">
        <f>PRODUCT(30/11)</f>
        <v>2.7272727272727271</v>
      </c>
      <c r="L118" s="36"/>
      <c r="M118" s="197" t="s">
        <v>496</v>
      </c>
      <c r="N118" s="117"/>
      <c r="O118" s="117"/>
      <c r="P118" s="117" t="s">
        <v>57</v>
      </c>
      <c r="Q118" s="117" t="s">
        <v>38</v>
      </c>
      <c r="R118" s="117" t="s">
        <v>354</v>
      </c>
      <c r="S118" s="117" t="s">
        <v>57</v>
      </c>
      <c r="T118" s="204"/>
      <c r="U118" s="203" t="s">
        <v>39</v>
      </c>
      <c r="V118" s="36"/>
      <c r="W118" s="215"/>
      <c r="X118" s="194"/>
      <c r="Y118" s="194"/>
      <c r="Z118" s="194"/>
      <c r="AA118" s="194"/>
      <c r="AB118" s="194"/>
      <c r="AC118" s="194"/>
      <c r="AD118" s="194"/>
      <c r="AE118" s="194"/>
      <c r="AF118" s="194"/>
      <c r="AG118" s="194"/>
      <c r="AH118" s="194"/>
      <c r="AI118" s="215"/>
      <c r="AJ118" s="194"/>
      <c r="AK118" s="194"/>
      <c r="AL118" s="194"/>
      <c r="AM118" s="198"/>
      <c r="AN118" s="194"/>
      <c r="AO118" s="194"/>
      <c r="AP118" s="194"/>
      <c r="AQ118" s="205"/>
      <c r="AR118" s="40"/>
      <c r="AS118" s="40"/>
      <c r="AT118" s="40"/>
    </row>
    <row r="119" spans="1:49" ht="15" customHeight="1" x14ac:dyDescent="0.25">
      <c r="A119" s="2"/>
      <c r="B119" s="193"/>
      <c r="C119" s="117"/>
      <c r="D119" s="194"/>
      <c r="E119" s="117"/>
      <c r="F119" s="117"/>
      <c r="G119" s="117"/>
      <c r="H119" s="195"/>
      <c r="I119" s="195"/>
      <c r="J119" s="195"/>
      <c r="K119" s="196"/>
      <c r="L119" s="36"/>
      <c r="M119" s="197"/>
      <c r="N119" s="117"/>
      <c r="O119" s="117"/>
      <c r="P119" s="117"/>
      <c r="Q119" s="117"/>
      <c r="R119" s="117"/>
      <c r="S119" s="117"/>
      <c r="T119" s="204"/>
      <c r="U119" s="203"/>
      <c r="V119" s="36"/>
      <c r="W119" s="215"/>
      <c r="X119" s="194"/>
      <c r="Y119" s="194"/>
      <c r="Z119" s="194"/>
      <c r="AA119" s="194"/>
      <c r="AB119" s="194"/>
      <c r="AC119" s="194"/>
      <c r="AD119" s="194"/>
      <c r="AE119" s="194"/>
      <c r="AF119" s="194"/>
      <c r="AG119" s="194"/>
      <c r="AH119" s="194"/>
      <c r="AI119" s="215"/>
      <c r="AJ119" s="194"/>
      <c r="AK119" s="194"/>
      <c r="AL119" s="194"/>
      <c r="AM119" s="198"/>
      <c r="AN119" s="194"/>
      <c r="AO119" s="194"/>
      <c r="AP119" s="194"/>
      <c r="AQ119" s="205"/>
      <c r="AR119" s="40"/>
      <c r="AS119" s="40"/>
      <c r="AT119" s="40"/>
    </row>
    <row r="120" spans="1:49" s="69" customFormat="1" ht="15" customHeight="1" x14ac:dyDescent="0.25">
      <c r="A120" s="65"/>
      <c r="B120" s="206"/>
      <c r="C120" s="207"/>
      <c r="D120" s="207"/>
      <c r="E120" s="207"/>
      <c r="F120" s="207"/>
      <c r="G120" s="207"/>
      <c r="H120" s="208"/>
      <c r="I120" s="208"/>
      <c r="J120" s="208"/>
      <c r="K120" s="209"/>
      <c r="L120" s="36"/>
      <c r="M120" s="206"/>
      <c r="N120" s="207"/>
      <c r="O120" s="207"/>
      <c r="P120" s="207"/>
      <c r="Q120" s="207"/>
      <c r="R120" s="207"/>
      <c r="S120" s="207"/>
      <c r="T120" s="207"/>
      <c r="U120" s="209"/>
      <c r="V120" s="36"/>
      <c r="W120" s="206"/>
      <c r="X120" s="207"/>
      <c r="Y120" s="207"/>
      <c r="Z120" s="207"/>
      <c r="AA120" s="207"/>
      <c r="AB120" s="207"/>
      <c r="AC120" s="207"/>
      <c r="AD120" s="207"/>
      <c r="AE120" s="207"/>
      <c r="AF120" s="207"/>
      <c r="AG120" s="207"/>
      <c r="AH120" s="207"/>
      <c r="AI120" s="206"/>
      <c r="AJ120" s="207"/>
      <c r="AK120" s="207"/>
      <c r="AL120" s="207"/>
      <c r="AM120" s="207"/>
      <c r="AN120" s="207"/>
      <c r="AO120" s="207"/>
      <c r="AP120" s="207"/>
      <c r="AQ120" s="210"/>
      <c r="AR120" s="40"/>
      <c r="AS120" s="40"/>
      <c r="AT120" s="40"/>
      <c r="AU120" s="234"/>
      <c r="AV120" s="234"/>
      <c r="AW120" s="234"/>
    </row>
    <row r="121" spans="1:49" s="69" customFormat="1" ht="15" customHeight="1" x14ac:dyDescent="0.25">
      <c r="A121" s="65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22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40"/>
      <c r="AS121" s="40"/>
      <c r="AT121" s="40"/>
      <c r="AU121" s="234"/>
      <c r="AV121" s="234"/>
      <c r="AW121" s="234"/>
    </row>
    <row r="122" spans="1:49" s="69" customFormat="1" ht="15" customHeight="1" x14ac:dyDescent="0.25">
      <c r="A122" s="65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M122" s="22"/>
      <c r="AN122" s="22"/>
      <c r="AO122" s="36"/>
      <c r="AP122" s="36"/>
      <c r="AQ122" s="36"/>
      <c r="AR122" s="40"/>
      <c r="AS122" s="40"/>
      <c r="AT122" s="40"/>
      <c r="AU122" s="234"/>
      <c r="AV122" s="234"/>
      <c r="AW122" s="234"/>
    </row>
    <row r="123" spans="1:49" s="69" customFormat="1" ht="15" customHeight="1" x14ac:dyDescent="0.25">
      <c r="A123" s="65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40"/>
      <c r="AT123" s="40"/>
      <c r="AU123" s="234"/>
      <c r="AV123" s="234"/>
      <c r="AW123" s="234"/>
    </row>
    <row r="124" spans="1:49" s="69" customFormat="1" ht="15" customHeight="1" x14ac:dyDescent="0.25">
      <c r="A124" s="65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40"/>
      <c r="AT124" s="40"/>
      <c r="AU124" s="234"/>
      <c r="AV124" s="234"/>
      <c r="AW124" s="234"/>
    </row>
    <row r="125" spans="1:49" s="69" customFormat="1" ht="15" customHeight="1" x14ac:dyDescent="0.25">
      <c r="A125" s="65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40"/>
      <c r="AT125" s="40"/>
      <c r="AU125" s="234"/>
      <c r="AV125" s="234"/>
      <c r="AW125" s="234"/>
    </row>
    <row r="126" spans="1:49" s="69" customFormat="1" ht="15" customHeight="1" x14ac:dyDescent="0.25">
      <c r="A126" s="65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40"/>
      <c r="AT126" s="40"/>
      <c r="AU126" s="234"/>
      <c r="AV126" s="234"/>
      <c r="AW126" s="234"/>
    </row>
    <row r="127" spans="1:49" s="69" customFormat="1" ht="15" customHeight="1" x14ac:dyDescent="0.25">
      <c r="A127" s="65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40"/>
      <c r="AT127" s="40"/>
      <c r="AU127" s="234"/>
      <c r="AV127" s="234"/>
      <c r="AW127" s="234"/>
    </row>
    <row r="128" spans="1:49" s="69" customFormat="1" ht="15" customHeight="1" x14ac:dyDescent="0.25">
      <c r="A128" s="65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40"/>
      <c r="AT128" s="40"/>
      <c r="AU128" s="234"/>
      <c r="AV128" s="234"/>
      <c r="AW128" s="234"/>
    </row>
    <row r="129" spans="1:49" s="69" customFormat="1" ht="15" customHeight="1" x14ac:dyDescent="0.25">
      <c r="A129" s="65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40"/>
      <c r="AT129" s="40"/>
      <c r="AU129" s="234"/>
      <c r="AV129" s="234"/>
      <c r="AW129" s="234"/>
    </row>
    <row r="130" spans="1:49" s="69" customFormat="1" ht="15" customHeight="1" x14ac:dyDescent="0.25">
      <c r="A130" s="65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40"/>
      <c r="AT130" s="40"/>
      <c r="AU130" s="234"/>
      <c r="AV130" s="234"/>
      <c r="AW130" s="234"/>
    </row>
    <row r="131" spans="1:49" s="69" customFormat="1" ht="15" customHeight="1" x14ac:dyDescent="0.25">
      <c r="A131" s="65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40"/>
      <c r="AT131" s="40"/>
      <c r="AU131" s="234"/>
      <c r="AV131" s="234"/>
      <c r="AW131" s="234"/>
    </row>
    <row r="132" spans="1:49" s="69" customFormat="1" ht="15" customHeight="1" x14ac:dyDescent="0.25">
      <c r="A132" s="65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40"/>
      <c r="AT132" s="234"/>
      <c r="AU132" s="234"/>
      <c r="AV132" s="234"/>
      <c r="AW132" s="234"/>
    </row>
    <row r="133" spans="1:49" s="69" customFormat="1" ht="15" customHeight="1" x14ac:dyDescent="0.25">
      <c r="A133" s="65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40"/>
      <c r="AT133" s="234"/>
      <c r="AU133" s="234"/>
      <c r="AV133" s="234"/>
      <c r="AW133" s="234"/>
    </row>
    <row r="134" spans="1:49" s="69" customFormat="1" ht="15" customHeight="1" x14ac:dyDescent="0.25">
      <c r="A134" s="65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40"/>
      <c r="AT134" s="234"/>
      <c r="AU134" s="234"/>
      <c r="AV134" s="234"/>
      <c r="AW134" s="234"/>
    </row>
    <row r="135" spans="1:49" s="69" customFormat="1" ht="15" customHeight="1" x14ac:dyDescent="0.25">
      <c r="A135" s="65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40"/>
      <c r="AT135" s="234"/>
      <c r="AU135" s="234"/>
      <c r="AV135" s="234"/>
      <c r="AW135" s="234"/>
    </row>
    <row r="136" spans="1:49" s="69" customFormat="1" ht="15" customHeight="1" x14ac:dyDescent="0.25">
      <c r="A136" s="65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40"/>
      <c r="AT136" s="234"/>
      <c r="AU136" s="234"/>
      <c r="AV136" s="234"/>
      <c r="AW136" s="234"/>
    </row>
    <row r="137" spans="1:49" s="69" customFormat="1" ht="15" customHeight="1" x14ac:dyDescent="0.25">
      <c r="A137" s="65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40"/>
      <c r="AT137" s="234"/>
      <c r="AU137" s="234"/>
      <c r="AV137" s="234"/>
      <c r="AW137" s="234"/>
    </row>
    <row r="138" spans="1:49" s="69" customFormat="1" ht="15" customHeight="1" x14ac:dyDescent="0.25">
      <c r="A138" s="65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40"/>
      <c r="AT138" s="234"/>
      <c r="AU138" s="234"/>
      <c r="AV138" s="234"/>
      <c r="AW138" s="234"/>
    </row>
    <row r="139" spans="1:49" s="69" customFormat="1" ht="15" customHeight="1" x14ac:dyDescent="0.25">
      <c r="A139" s="65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40"/>
      <c r="AT139" s="234"/>
      <c r="AU139" s="234"/>
      <c r="AV139" s="234"/>
      <c r="AW139" s="234"/>
    </row>
    <row r="140" spans="1:49" s="69" customFormat="1" ht="15" customHeight="1" x14ac:dyDescent="0.25">
      <c r="A140" s="65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40"/>
      <c r="AT140" s="234"/>
      <c r="AU140" s="234"/>
      <c r="AV140" s="234"/>
      <c r="AW140" s="234"/>
    </row>
    <row r="141" spans="1:49" s="69" customFormat="1" ht="15" customHeight="1" x14ac:dyDescent="0.25">
      <c r="A141" s="65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40"/>
      <c r="AT141" s="234"/>
      <c r="AU141" s="234"/>
      <c r="AV141" s="234"/>
      <c r="AW141" s="234"/>
    </row>
    <row r="142" spans="1:49" s="69" customFormat="1" ht="15" customHeight="1" x14ac:dyDescent="0.25">
      <c r="A142" s="65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40"/>
      <c r="AT142" s="234"/>
      <c r="AU142" s="234"/>
      <c r="AV142" s="234"/>
      <c r="AW142" s="234"/>
    </row>
    <row r="143" spans="1:49" s="69" customFormat="1" ht="15" customHeight="1" x14ac:dyDescent="0.25">
      <c r="A143" s="65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40"/>
      <c r="AT143" s="234"/>
      <c r="AU143" s="234"/>
      <c r="AV143" s="234"/>
      <c r="AW143" s="234"/>
    </row>
    <row r="144" spans="1:49" s="69" customFormat="1" ht="15" customHeight="1" x14ac:dyDescent="0.25">
      <c r="A144" s="65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40"/>
      <c r="AT144" s="234"/>
      <c r="AU144" s="234"/>
      <c r="AV144" s="234"/>
      <c r="AW144" s="234"/>
    </row>
    <row r="145" spans="1:49" s="69" customFormat="1" ht="15" customHeight="1" x14ac:dyDescent="0.25">
      <c r="A145" s="65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40"/>
      <c r="AT145" s="234"/>
      <c r="AU145" s="234"/>
      <c r="AV145" s="234"/>
      <c r="AW145" s="234"/>
    </row>
    <row r="146" spans="1:49" s="69" customFormat="1" ht="15" customHeight="1" x14ac:dyDescent="0.25">
      <c r="A146" s="65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40"/>
      <c r="AT146" s="234"/>
      <c r="AU146" s="234"/>
      <c r="AV146" s="234"/>
      <c r="AW146" s="234"/>
    </row>
    <row r="147" spans="1:49" s="69" customFormat="1" ht="15" customHeight="1" x14ac:dyDescent="0.25">
      <c r="A147" s="65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40"/>
      <c r="AT147" s="234"/>
      <c r="AU147" s="234"/>
      <c r="AV147" s="234"/>
      <c r="AW147" s="234"/>
    </row>
    <row r="148" spans="1:49" s="69" customFormat="1" ht="15" customHeight="1" x14ac:dyDescent="0.25">
      <c r="A148" s="65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40"/>
      <c r="AT148" s="234"/>
      <c r="AU148" s="234"/>
      <c r="AV148" s="234"/>
      <c r="AW148" s="234"/>
    </row>
    <row r="149" spans="1:49" s="69" customFormat="1" ht="15" customHeight="1" x14ac:dyDescent="0.25">
      <c r="A149" s="65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40"/>
      <c r="AT149" s="234"/>
      <c r="AU149" s="234"/>
      <c r="AV149" s="234"/>
      <c r="AW149" s="234"/>
    </row>
    <row r="150" spans="1:49" s="69" customFormat="1" ht="15" customHeight="1" x14ac:dyDescent="0.25">
      <c r="A150" s="65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40"/>
      <c r="AT150" s="234"/>
      <c r="AU150" s="234"/>
      <c r="AV150" s="234"/>
      <c r="AW150" s="234"/>
    </row>
    <row r="151" spans="1:49" s="69" customFormat="1" ht="15" customHeight="1" x14ac:dyDescent="0.25">
      <c r="A151" s="65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40"/>
      <c r="AT151" s="234"/>
      <c r="AU151" s="234"/>
      <c r="AV151" s="234"/>
      <c r="AW151" s="234"/>
    </row>
    <row r="152" spans="1:49" s="69" customFormat="1" ht="15" customHeight="1" x14ac:dyDescent="0.25">
      <c r="A152" s="65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40"/>
      <c r="AT152" s="234"/>
      <c r="AU152" s="234"/>
      <c r="AV152" s="234"/>
      <c r="AW152" s="234"/>
    </row>
    <row r="153" spans="1:49" s="69" customFormat="1" ht="15" customHeight="1" x14ac:dyDescent="0.25">
      <c r="A153" s="65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40"/>
      <c r="AT153" s="234"/>
      <c r="AU153" s="234"/>
      <c r="AV153" s="234"/>
      <c r="AW153" s="234"/>
    </row>
    <row r="154" spans="1:49" s="69" customFormat="1" ht="15" customHeight="1" x14ac:dyDescent="0.25">
      <c r="A154" s="65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40"/>
      <c r="AT154" s="234"/>
      <c r="AU154" s="234"/>
      <c r="AV154" s="234"/>
      <c r="AW154" s="234"/>
    </row>
    <row r="155" spans="1:49" s="69" customFormat="1" ht="15" customHeight="1" x14ac:dyDescent="0.25">
      <c r="A155" s="65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40"/>
      <c r="AT155" s="234"/>
      <c r="AU155" s="234"/>
      <c r="AV155" s="234"/>
      <c r="AW155" s="234"/>
    </row>
    <row r="156" spans="1:49" s="69" customFormat="1" ht="15" customHeight="1" x14ac:dyDescent="0.25">
      <c r="A156" s="65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40"/>
      <c r="AT156" s="234"/>
      <c r="AU156" s="234"/>
      <c r="AV156" s="234"/>
      <c r="AW156" s="234"/>
    </row>
    <row r="157" spans="1:49" s="69" customFormat="1" ht="15" customHeight="1" x14ac:dyDescent="0.25">
      <c r="A157" s="65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40"/>
      <c r="AT157" s="234"/>
      <c r="AU157" s="234"/>
      <c r="AV157" s="234"/>
      <c r="AW157" s="234"/>
    </row>
    <row r="158" spans="1:49" s="69" customFormat="1" ht="15" customHeight="1" x14ac:dyDescent="0.25">
      <c r="A158" s="65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40"/>
      <c r="AT158" s="234"/>
      <c r="AU158" s="234"/>
      <c r="AV158" s="234"/>
      <c r="AW158" s="234"/>
    </row>
    <row r="159" spans="1:49" s="69" customFormat="1" ht="15" customHeight="1" x14ac:dyDescent="0.25">
      <c r="A159" s="65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40"/>
      <c r="AT159" s="234"/>
      <c r="AU159" s="234"/>
      <c r="AV159" s="234"/>
      <c r="AW159" s="234"/>
    </row>
    <row r="160" spans="1:49" s="69" customFormat="1" ht="15" customHeight="1" x14ac:dyDescent="0.25">
      <c r="A160" s="65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40"/>
      <c r="AT160" s="234"/>
      <c r="AU160" s="234"/>
      <c r="AV160" s="234"/>
      <c r="AW160" s="234"/>
    </row>
    <row r="161" spans="1:49" s="69" customFormat="1" ht="15" customHeight="1" x14ac:dyDescent="0.25">
      <c r="A161" s="65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40"/>
      <c r="AT161" s="234"/>
      <c r="AU161" s="234"/>
      <c r="AV161" s="234"/>
      <c r="AW161" s="234"/>
    </row>
    <row r="162" spans="1:49" s="69" customFormat="1" ht="15" customHeight="1" x14ac:dyDescent="0.25">
      <c r="A162" s="65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40"/>
      <c r="AT162" s="234"/>
      <c r="AU162" s="234"/>
      <c r="AV162" s="234"/>
      <c r="AW162" s="234"/>
    </row>
    <row r="163" spans="1:49" s="69" customFormat="1" ht="15" customHeight="1" x14ac:dyDescent="0.25">
      <c r="A163" s="65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40"/>
      <c r="AT163" s="234"/>
      <c r="AU163" s="234"/>
      <c r="AV163" s="234"/>
      <c r="AW163" s="234"/>
    </row>
    <row r="164" spans="1:49" s="69" customFormat="1" ht="15" customHeight="1" x14ac:dyDescent="0.25">
      <c r="A164" s="65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40"/>
      <c r="AT164" s="234"/>
      <c r="AU164" s="234"/>
      <c r="AV164" s="234"/>
      <c r="AW164" s="234"/>
    </row>
    <row r="165" spans="1:49" s="69" customFormat="1" ht="15" customHeight="1" x14ac:dyDescent="0.25">
      <c r="A165" s="65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40"/>
      <c r="AT165" s="234"/>
      <c r="AU165" s="234"/>
      <c r="AV165" s="234"/>
      <c r="AW165" s="234"/>
    </row>
    <row r="166" spans="1:49" s="69" customFormat="1" ht="15" customHeight="1" x14ac:dyDescent="0.25">
      <c r="A166" s="65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40"/>
      <c r="AT166" s="234"/>
      <c r="AU166" s="234"/>
      <c r="AV166" s="234"/>
      <c r="AW166" s="234"/>
    </row>
    <row r="167" spans="1:49" s="69" customFormat="1" ht="15" customHeight="1" x14ac:dyDescent="0.25">
      <c r="A167" s="65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40"/>
      <c r="AT167" s="234"/>
      <c r="AU167" s="234"/>
      <c r="AV167" s="234"/>
      <c r="AW167" s="234"/>
    </row>
    <row r="168" spans="1:49" s="69" customFormat="1" ht="15" customHeight="1" x14ac:dyDescent="0.25">
      <c r="A168" s="65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40"/>
      <c r="AT168" s="234"/>
      <c r="AU168" s="234"/>
      <c r="AV168" s="234"/>
      <c r="AW168" s="234"/>
    </row>
    <row r="169" spans="1:49" s="69" customFormat="1" ht="15" customHeight="1" x14ac:dyDescent="0.25">
      <c r="A169" s="65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40"/>
      <c r="AT169" s="234"/>
      <c r="AU169" s="234"/>
      <c r="AV169" s="234"/>
      <c r="AW169" s="234"/>
    </row>
    <row r="170" spans="1:49" s="69" customFormat="1" ht="15" customHeight="1" x14ac:dyDescent="0.25">
      <c r="A170" s="65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40"/>
      <c r="AT170" s="234"/>
      <c r="AU170" s="234"/>
      <c r="AV170" s="234"/>
      <c r="AW170" s="234"/>
    </row>
    <row r="171" spans="1:49" s="69" customFormat="1" ht="15" customHeight="1" x14ac:dyDescent="0.25">
      <c r="A171" s="65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40"/>
      <c r="AT171" s="234"/>
      <c r="AU171" s="234"/>
      <c r="AV171" s="234"/>
      <c r="AW171" s="234"/>
    </row>
    <row r="172" spans="1:49" s="69" customFormat="1" ht="15" customHeight="1" x14ac:dyDescent="0.25">
      <c r="A172" s="65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40"/>
      <c r="AT172" s="234"/>
      <c r="AU172" s="234"/>
      <c r="AV172" s="234"/>
      <c r="AW172" s="234"/>
    </row>
    <row r="173" spans="1:49" s="69" customFormat="1" ht="15" customHeight="1" x14ac:dyDescent="0.25">
      <c r="A173" s="65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40"/>
      <c r="AT173" s="234"/>
      <c r="AU173" s="234"/>
      <c r="AV173" s="234"/>
      <c r="AW173" s="234"/>
    </row>
    <row r="174" spans="1:49" s="69" customFormat="1" ht="15" customHeight="1" x14ac:dyDescent="0.25">
      <c r="A174" s="65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40"/>
      <c r="AT174" s="234"/>
      <c r="AU174" s="234"/>
      <c r="AV174" s="234"/>
      <c r="AW174" s="234"/>
    </row>
    <row r="175" spans="1:49" s="69" customFormat="1" ht="15" customHeight="1" x14ac:dyDescent="0.25">
      <c r="A175" s="65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40"/>
      <c r="AT175" s="234"/>
      <c r="AU175" s="234"/>
      <c r="AV175" s="234"/>
      <c r="AW175" s="234"/>
    </row>
    <row r="176" spans="1:49" s="69" customFormat="1" ht="15" customHeight="1" x14ac:dyDescent="0.25">
      <c r="A176" s="65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40"/>
      <c r="AT176" s="234"/>
      <c r="AU176" s="234"/>
      <c r="AV176" s="234"/>
      <c r="AW176" s="234"/>
    </row>
    <row r="177" spans="1:49" s="69" customFormat="1" ht="15" customHeight="1" x14ac:dyDescent="0.25">
      <c r="A177" s="65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40"/>
      <c r="AT177" s="234"/>
      <c r="AU177" s="234"/>
      <c r="AV177" s="234"/>
      <c r="AW177" s="234"/>
    </row>
    <row r="178" spans="1:49" s="69" customFormat="1" ht="15" customHeight="1" x14ac:dyDescent="0.25">
      <c r="A178" s="65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40"/>
      <c r="AT178" s="234"/>
      <c r="AU178" s="234"/>
      <c r="AV178" s="234"/>
      <c r="AW178" s="234"/>
    </row>
    <row r="179" spans="1:49" s="69" customFormat="1" ht="15" customHeight="1" x14ac:dyDescent="0.25">
      <c r="A179" s="65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40"/>
      <c r="AT179" s="234"/>
      <c r="AU179" s="234"/>
      <c r="AV179" s="234"/>
      <c r="AW179" s="234"/>
    </row>
    <row r="180" spans="1:49" s="69" customFormat="1" ht="15" customHeight="1" x14ac:dyDescent="0.25">
      <c r="A180" s="65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40"/>
      <c r="AT180" s="234"/>
      <c r="AU180" s="234"/>
      <c r="AV180" s="234"/>
      <c r="AW180" s="234"/>
    </row>
    <row r="181" spans="1:49" s="69" customFormat="1" ht="15" customHeight="1" x14ac:dyDescent="0.25">
      <c r="A181" s="65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40"/>
      <c r="AT181" s="234"/>
      <c r="AU181" s="234"/>
      <c r="AV181" s="234"/>
      <c r="AW181" s="234"/>
    </row>
    <row r="182" spans="1:49" s="69" customFormat="1" ht="15" customHeight="1" x14ac:dyDescent="0.25">
      <c r="A182" s="65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40"/>
      <c r="AT182" s="234"/>
      <c r="AU182" s="234"/>
      <c r="AV182" s="234"/>
      <c r="AW182" s="234"/>
    </row>
    <row r="183" spans="1:49" s="69" customFormat="1" ht="15" customHeight="1" x14ac:dyDescent="0.25">
      <c r="A183" s="65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40"/>
      <c r="AT183" s="234"/>
      <c r="AU183" s="234"/>
      <c r="AV183" s="234"/>
      <c r="AW183" s="234"/>
    </row>
    <row r="184" spans="1:49" s="69" customFormat="1" ht="15" customHeight="1" x14ac:dyDescent="0.25">
      <c r="A184" s="65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40"/>
      <c r="AT184" s="234"/>
      <c r="AU184" s="234"/>
      <c r="AV184" s="234"/>
      <c r="AW184" s="234"/>
    </row>
    <row r="185" spans="1:49" s="69" customFormat="1" ht="15" customHeight="1" x14ac:dyDescent="0.25">
      <c r="A185" s="65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40"/>
      <c r="AT185" s="234"/>
      <c r="AU185" s="234"/>
      <c r="AV185" s="234"/>
      <c r="AW185" s="234"/>
    </row>
    <row r="186" spans="1:49" s="69" customFormat="1" ht="15" customHeight="1" x14ac:dyDescent="0.25">
      <c r="A186" s="65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40"/>
      <c r="AT186" s="234"/>
      <c r="AU186" s="234"/>
      <c r="AV186" s="234"/>
      <c r="AW186" s="234"/>
    </row>
    <row r="187" spans="1:49" s="69" customFormat="1" ht="15" customHeight="1" x14ac:dyDescent="0.25">
      <c r="A187" s="65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40"/>
      <c r="AT187" s="234"/>
      <c r="AU187" s="234"/>
      <c r="AV187" s="234"/>
      <c r="AW187" s="234"/>
    </row>
    <row r="188" spans="1:49" s="69" customFormat="1" ht="15" customHeight="1" x14ac:dyDescent="0.25">
      <c r="A188" s="65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40"/>
      <c r="AT188" s="234"/>
      <c r="AU188" s="234"/>
      <c r="AV188" s="234"/>
      <c r="AW188" s="234"/>
    </row>
    <row r="189" spans="1:49" s="69" customFormat="1" ht="15" customHeight="1" x14ac:dyDescent="0.25">
      <c r="A189" s="65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40"/>
      <c r="AT189" s="234"/>
      <c r="AU189" s="234"/>
      <c r="AV189" s="234"/>
      <c r="AW189" s="234"/>
    </row>
    <row r="190" spans="1:49" s="69" customFormat="1" ht="15" customHeight="1" x14ac:dyDescent="0.25">
      <c r="A190" s="65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40"/>
      <c r="AT190" s="234"/>
      <c r="AU190" s="234"/>
      <c r="AV190" s="234"/>
      <c r="AW190" s="234"/>
    </row>
    <row r="191" spans="1:49" s="69" customFormat="1" ht="15" customHeight="1" x14ac:dyDescent="0.25">
      <c r="A191" s="65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40"/>
      <c r="AT191" s="234"/>
      <c r="AU191" s="234"/>
      <c r="AV191" s="234"/>
      <c r="AW191" s="234"/>
    </row>
    <row r="192" spans="1:49" s="69" customFormat="1" ht="15" customHeight="1" x14ac:dyDescent="0.25">
      <c r="A192" s="65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40"/>
      <c r="AT192" s="234"/>
      <c r="AU192" s="234"/>
      <c r="AV192" s="234"/>
      <c r="AW192" s="234"/>
    </row>
    <row r="193" spans="1:49" s="69" customFormat="1" ht="15" customHeight="1" x14ac:dyDescent="0.25">
      <c r="A193" s="65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40"/>
      <c r="AT193" s="234"/>
      <c r="AU193" s="234"/>
      <c r="AV193" s="234"/>
      <c r="AW193" s="234"/>
    </row>
    <row r="194" spans="1:49" s="69" customFormat="1" ht="15" customHeight="1" x14ac:dyDescent="0.25">
      <c r="A194" s="65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40"/>
      <c r="AT194" s="234"/>
      <c r="AU194" s="234"/>
      <c r="AV194" s="234"/>
      <c r="AW194" s="234"/>
    </row>
    <row r="195" spans="1:49" s="69" customFormat="1" ht="15" customHeight="1" x14ac:dyDescent="0.25">
      <c r="A195" s="65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40"/>
      <c r="AT195" s="234"/>
      <c r="AU195" s="234"/>
      <c r="AV195" s="234"/>
      <c r="AW195" s="234"/>
    </row>
    <row r="196" spans="1:49" s="69" customFormat="1" ht="15" customHeight="1" x14ac:dyDescent="0.25">
      <c r="A196" s="65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40"/>
      <c r="AT196" s="234"/>
      <c r="AU196" s="234"/>
      <c r="AV196" s="234"/>
      <c r="AW196" s="234"/>
    </row>
    <row r="197" spans="1:49" s="69" customFormat="1" ht="15" customHeight="1" x14ac:dyDescent="0.25">
      <c r="A197" s="65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40"/>
      <c r="AT197" s="234"/>
      <c r="AU197" s="234"/>
      <c r="AV197" s="234"/>
      <c r="AW197" s="234"/>
    </row>
    <row r="198" spans="1:49" s="69" customFormat="1" ht="15" customHeight="1" x14ac:dyDescent="0.25">
      <c r="A198" s="65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40"/>
      <c r="AT198" s="234"/>
      <c r="AU198" s="234"/>
      <c r="AV198" s="234"/>
      <c r="AW198" s="234"/>
    </row>
    <row r="199" spans="1:49" s="69" customFormat="1" ht="15" customHeight="1" x14ac:dyDescent="0.25">
      <c r="A199" s="65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22"/>
      <c r="AM199" s="22"/>
      <c r="AN199" s="22"/>
      <c r="AO199" s="36"/>
      <c r="AP199" s="36"/>
      <c r="AQ199" s="36"/>
      <c r="AR199" s="40"/>
      <c r="AS199" s="40"/>
      <c r="AT199" s="234"/>
      <c r="AU199" s="234"/>
      <c r="AV199" s="234"/>
      <c r="AW199" s="234"/>
    </row>
    <row r="200" spans="1:49" s="69" customFormat="1" ht="15" customHeight="1" x14ac:dyDescent="0.25">
      <c r="A200" s="65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22"/>
      <c r="AM200" s="22"/>
      <c r="AN200" s="22"/>
      <c r="AO200" s="36"/>
      <c r="AP200" s="36"/>
      <c r="AQ200" s="36"/>
      <c r="AR200" s="40"/>
      <c r="AS200" s="40"/>
      <c r="AT200" s="234"/>
      <c r="AU200" s="234"/>
      <c r="AV200" s="234"/>
      <c r="AW200" s="234"/>
    </row>
    <row r="201" spans="1:49" s="69" customFormat="1" ht="15" customHeight="1" x14ac:dyDescent="0.25">
      <c r="A201" s="65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22"/>
      <c r="AM201" s="22"/>
      <c r="AN201" s="22"/>
      <c r="AO201" s="36"/>
      <c r="AP201" s="36"/>
      <c r="AQ201" s="36"/>
      <c r="AR201" s="40"/>
      <c r="AS201" s="40"/>
      <c r="AT201" s="234"/>
      <c r="AU201" s="234"/>
      <c r="AV201" s="234"/>
      <c r="AW201" s="234"/>
    </row>
    <row r="202" spans="1:49" s="69" customFormat="1" ht="15" customHeight="1" x14ac:dyDescent="0.25">
      <c r="A202" s="65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22"/>
      <c r="AM202" s="22"/>
      <c r="AN202" s="22"/>
      <c r="AO202" s="36"/>
      <c r="AP202" s="36"/>
      <c r="AQ202" s="36"/>
      <c r="AR202" s="40"/>
      <c r="AS202" s="40"/>
      <c r="AT202" s="234"/>
      <c r="AU202" s="234"/>
      <c r="AV202" s="234"/>
      <c r="AW202" s="234"/>
    </row>
    <row r="203" spans="1:49" s="69" customFormat="1" ht="15" customHeight="1" x14ac:dyDescent="0.25">
      <c r="A203" s="65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22"/>
      <c r="AM203" s="22"/>
      <c r="AN203" s="22"/>
      <c r="AO203" s="36"/>
      <c r="AP203" s="36"/>
      <c r="AQ203" s="36"/>
      <c r="AR203" s="40"/>
      <c r="AS203" s="40"/>
      <c r="AT203" s="234"/>
      <c r="AU203" s="234"/>
      <c r="AV203" s="234"/>
      <c r="AW203" s="234"/>
    </row>
    <row r="204" spans="1:49" s="69" customFormat="1" ht="15" customHeight="1" x14ac:dyDescent="0.25">
      <c r="A204" s="65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22"/>
      <c r="AM204" s="22"/>
      <c r="AN204" s="22"/>
      <c r="AO204" s="36"/>
      <c r="AP204" s="36"/>
      <c r="AQ204" s="36"/>
      <c r="AR204" s="40"/>
      <c r="AS204" s="40"/>
      <c r="AT204" s="234"/>
      <c r="AU204" s="234"/>
      <c r="AV204" s="234"/>
      <c r="AW204" s="234"/>
    </row>
    <row r="205" spans="1:49" s="69" customFormat="1" ht="15" customHeight="1" x14ac:dyDescent="0.25">
      <c r="A205" s="65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22"/>
      <c r="AM205" s="22"/>
      <c r="AN205" s="22"/>
      <c r="AO205" s="36"/>
      <c r="AP205" s="36"/>
      <c r="AQ205" s="36"/>
      <c r="AR205" s="40"/>
      <c r="AS205" s="40"/>
      <c r="AT205" s="234"/>
      <c r="AU205" s="234"/>
      <c r="AV205" s="234"/>
      <c r="AW205" s="234"/>
    </row>
    <row r="206" spans="1:49" s="69" customFormat="1" ht="15" customHeight="1" x14ac:dyDescent="0.25">
      <c r="A206" s="65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22"/>
      <c r="AM206" s="22"/>
      <c r="AN206" s="22"/>
      <c r="AO206" s="36"/>
      <c r="AP206" s="36"/>
      <c r="AQ206" s="36"/>
      <c r="AR206" s="40"/>
      <c r="AS206" s="40"/>
      <c r="AT206" s="234"/>
      <c r="AU206" s="234"/>
      <c r="AV206" s="234"/>
      <c r="AW206" s="234"/>
    </row>
    <row r="207" spans="1:49" s="69" customFormat="1" ht="15" customHeight="1" x14ac:dyDescent="0.25">
      <c r="A207" s="65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22"/>
      <c r="AM207" s="22"/>
      <c r="AN207" s="22"/>
      <c r="AO207" s="36"/>
      <c r="AP207" s="36"/>
      <c r="AQ207" s="36"/>
      <c r="AR207" s="40"/>
      <c r="AS207" s="40"/>
      <c r="AT207" s="234"/>
      <c r="AU207" s="234"/>
      <c r="AV207" s="234"/>
      <c r="AW207" s="234"/>
    </row>
    <row r="208" spans="1:49" s="69" customFormat="1" ht="15" customHeight="1" x14ac:dyDescent="0.25">
      <c r="A208" s="65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22"/>
      <c r="AM208" s="22"/>
      <c r="AN208" s="22"/>
      <c r="AO208" s="36"/>
      <c r="AP208" s="36"/>
      <c r="AQ208" s="36"/>
      <c r="AR208" s="40"/>
      <c r="AS208" s="40"/>
      <c r="AT208" s="234"/>
      <c r="AU208" s="234"/>
      <c r="AV208" s="234"/>
      <c r="AW208" s="234"/>
    </row>
    <row r="209" spans="1:49" s="69" customFormat="1" ht="15" customHeight="1" x14ac:dyDescent="0.25">
      <c r="A209" s="65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22"/>
      <c r="AM209" s="22"/>
      <c r="AN209" s="22"/>
      <c r="AO209" s="36"/>
      <c r="AP209" s="36"/>
      <c r="AQ209" s="36"/>
      <c r="AR209" s="40"/>
      <c r="AS209" s="40"/>
      <c r="AT209" s="234"/>
      <c r="AU209" s="234"/>
      <c r="AV209" s="234"/>
      <c r="AW209" s="234"/>
    </row>
    <row r="210" spans="1:49" s="69" customFormat="1" ht="15" customHeight="1" x14ac:dyDescent="0.25">
      <c r="A210" s="65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22"/>
      <c r="AM210" s="22"/>
      <c r="AN210" s="22"/>
      <c r="AO210" s="36"/>
      <c r="AP210" s="36"/>
      <c r="AQ210" s="36"/>
      <c r="AR210" s="40"/>
      <c r="AS210" s="40"/>
      <c r="AT210" s="234"/>
      <c r="AU210" s="234"/>
      <c r="AV210" s="234"/>
      <c r="AW210" s="234"/>
    </row>
    <row r="211" spans="1:49" s="69" customFormat="1" ht="15" customHeight="1" x14ac:dyDescent="0.25">
      <c r="A211" s="65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22"/>
      <c r="AM211" s="22"/>
      <c r="AN211" s="22"/>
      <c r="AO211" s="36"/>
      <c r="AP211" s="36"/>
      <c r="AQ211" s="36"/>
      <c r="AR211" s="40"/>
      <c r="AS211" s="40"/>
      <c r="AT211" s="234"/>
      <c r="AU211" s="234"/>
      <c r="AV211" s="234"/>
      <c r="AW211" s="234"/>
    </row>
    <row r="212" spans="1:49" s="69" customFormat="1" ht="15" customHeight="1" x14ac:dyDescent="0.25">
      <c r="A212" s="65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22"/>
      <c r="AM212" s="22"/>
      <c r="AN212" s="22"/>
      <c r="AO212" s="36"/>
      <c r="AP212" s="36"/>
      <c r="AQ212" s="36"/>
      <c r="AR212" s="40"/>
      <c r="AS212" s="40"/>
      <c r="AT212" s="234"/>
      <c r="AU212" s="234"/>
      <c r="AV212" s="234"/>
      <c r="AW212" s="234"/>
    </row>
    <row r="213" spans="1:49" s="69" customFormat="1" ht="15" customHeight="1" x14ac:dyDescent="0.25">
      <c r="A213" s="65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22"/>
      <c r="AM213" s="22"/>
      <c r="AN213" s="22"/>
      <c r="AO213" s="36"/>
      <c r="AP213" s="36"/>
      <c r="AQ213" s="36"/>
      <c r="AR213" s="40"/>
      <c r="AS213" s="40"/>
      <c r="AT213" s="234"/>
      <c r="AU213" s="234"/>
      <c r="AV213" s="234"/>
      <c r="AW213" s="234"/>
    </row>
    <row r="214" spans="1:49" s="69" customFormat="1" ht="15" customHeight="1" x14ac:dyDescent="0.25">
      <c r="A214" s="65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22"/>
      <c r="AM214" s="22"/>
      <c r="AN214" s="22"/>
      <c r="AO214" s="36"/>
      <c r="AP214" s="36"/>
      <c r="AQ214" s="36"/>
      <c r="AR214" s="40"/>
      <c r="AS214" s="40"/>
      <c r="AT214" s="234"/>
      <c r="AU214" s="234"/>
      <c r="AV214" s="234"/>
      <c r="AW214" s="234"/>
    </row>
    <row r="215" spans="1:49" s="69" customFormat="1" ht="15" customHeight="1" x14ac:dyDescent="0.25">
      <c r="A215" s="65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22"/>
      <c r="AM215" s="22"/>
      <c r="AN215" s="22"/>
      <c r="AO215" s="36"/>
      <c r="AP215" s="36"/>
      <c r="AQ215" s="36"/>
      <c r="AR215" s="40"/>
      <c r="AS215" s="40"/>
      <c r="AT215" s="234"/>
      <c r="AU215" s="234"/>
      <c r="AV215" s="234"/>
      <c r="AW215" s="234"/>
    </row>
    <row r="216" spans="1:49" s="69" customFormat="1" ht="15" customHeight="1" x14ac:dyDescent="0.25">
      <c r="A216" s="65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22"/>
      <c r="AM216" s="22"/>
      <c r="AN216" s="22"/>
      <c r="AO216" s="36"/>
      <c r="AP216" s="36"/>
      <c r="AQ216" s="36"/>
      <c r="AR216" s="40"/>
      <c r="AS216" s="40"/>
      <c r="AT216" s="234"/>
      <c r="AU216" s="234"/>
      <c r="AV216" s="234"/>
      <c r="AW216" s="234"/>
    </row>
    <row r="217" spans="1:49" s="69" customFormat="1" ht="15" customHeight="1" x14ac:dyDescent="0.25">
      <c r="A217" s="65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22"/>
      <c r="AM217" s="22"/>
      <c r="AN217" s="22"/>
      <c r="AO217" s="36"/>
      <c r="AP217" s="36"/>
      <c r="AQ217" s="36"/>
      <c r="AR217" s="40"/>
      <c r="AS217" s="40"/>
      <c r="AT217" s="234"/>
      <c r="AU217" s="234"/>
      <c r="AV217" s="234"/>
      <c r="AW217" s="234"/>
    </row>
    <row r="218" spans="1:49" s="69" customFormat="1" ht="15" customHeight="1" x14ac:dyDescent="0.25">
      <c r="A218" s="65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22"/>
      <c r="AM218" s="22"/>
      <c r="AN218" s="22"/>
      <c r="AO218" s="36"/>
      <c r="AP218" s="36"/>
      <c r="AQ218" s="36"/>
      <c r="AR218" s="40"/>
      <c r="AS218" s="40"/>
      <c r="AT218" s="234"/>
      <c r="AU218" s="234"/>
      <c r="AV218" s="234"/>
      <c r="AW218" s="234"/>
    </row>
    <row r="219" spans="1:49" s="69" customFormat="1" ht="15" customHeight="1" x14ac:dyDescent="0.25">
      <c r="A219" s="65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22"/>
      <c r="AM219" s="22"/>
      <c r="AN219" s="22"/>
      <c r="AO219" s="36"/>
      <c r="AP219" s="36"/>
      <c r="AQ219" s="36"/>
      <c r="AR219" s="40"/>
      <c r="AS219" s="40"/>
      <c r="AT219" s="234"/>
      <c r="AU219" s="234"/>
      <c r="AV219" s="234"/>
      <c r="AW219" s="234"/>
    </row>
    <row r="220" spans="1:49" s="69" customFormat="1" ht="15" customHeight="1" x14ac:dyDescent="0.25">
      <c r="A220" s="65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22"/>
      <c r="AM220" s="22"/>
      <c r="AN220" s="22"/>
      <c r="AO220" s="36"/>
      <c r="AP220" s="36"/>
      <c r="AQ220" s="36"/>
      <c r="AR220" s="40"/>
      <c r="AS220" s="40"/>
      <c r="AT220" s="234"/>
      <c r="AU220" s="234"/>
      <c r="AV220" s="234"/>
      <c r="AW220" s="234"/>
    </row>
    <row r="221" spans="1:49" s="69" customFormat="1" ht="15" customHeight="1" x14ac:dyDescent="0.25">
      <c r="A221" s="65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22"/>
      <c r="AM221" s="22"/>
      <c r="AN221" s="22"/>
      <c r="AO221" s="36"/>
      <c r="AP221" s="36"/>
      <c r="AQ221" s="36"/>
      <c r="AR221" s="40"/>
      <c r="AS221" s="40"/>
      <c r="AT221" s="234"/>
      <c r="AU221" s="234"/>
      <c r="AV221" s="234"/>
      <c r="AW221" s="234"/>
    </row>
    <row r="222" spans="1:49" s="69" customFormat="1" ht="15" customHeight="1" x14ac:dyDescent="0.25">
      <c r="A222" s="65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22"/>
      <c r="AM222" s="22"/>
      <c r="AN222" s="22"/>
      <c r="AO222" s="36"/>
      <c r="AP222" s="36"/>
      <c r="AQ222" s="36"/>
      <c r="AR222" s="40"/>
      <c r="AS222" s="40"/>
      <c r="AT222" s="234"/>
      <c r="AU222" s="234"/>
      <c r="AV222" s="234"/>
      <c r="AW222" s="234"/>
    </row>
    <row r="223" spans="1:49" s="69" customFormat="1" ht="15" customHeight="1" x14ac:dyDescent="0.25">
      <c r="A223" s="65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22"/>
      <c r="AM223" s="22"/>
      <c r="AN223" s="22"/>
      <c r="AO223" s="36"/>
      <c r="AP223" s="36"/>
      <c r="AQ223" s="36"/>
      <c r="AR223" s="40"/>
      <c r="AS223" s="40"/>
      <c r="AT223" s="234"/>
      <c r="AU223" s="234"/>
      <c r="AV223" s="234"/>
      <c r="AW223" s="234"/>
    </row>
    <row r="224" spans="1:49" s="69" customFormat="1" ht="15" customHeight="1" x14ac:dyDescent="0.25">
      <c r="A224" s="65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22"/>
      <c r="AM224" s="22"/>
      <c r="AN224" s="22"/>
      <c r="AO224" s="36"/>
      <c r="AP224" s="36"/>
      <c r="AQ224" s="36"/>
      <c r="AR224" s="40"/>
      <c r="AS224" s="40"/>
      <c r="AT224" s="234"/>
      <c r="AU224" s="234"/>
      <c r="AV224" s="234"/>
      <c r="AW224" s="234"/>
    </row>
    <row r="225" spans="1:49" s="69" customFormat="1" ht="15" customHeight="1" x14ac:dyDescent="0.25">
      <c r="A225" s="65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22"/>
      <c r="AM225" s="22"/>
      <c r="AN225" s="22"/>
      <c r="AO225" s="36"/>
      <c r="AP225" s="36"/>
      <c r="AQ225" s="36"/>
      <c r="AR225" s="40"/>
      <c r="AS225" s="40"/>
      <c r="AT225" s="234"/>
      <c r="AU225" s="234"/>
      <c r="AV225" s="234"/>
      <c r="AW225" s="234"/>
    </row>
    <row r="226" spans="1:49" s="69" customFormat="1" ht="15" customHeight="1" x14ac:dyDescent="0.25">
      <c r="A226" s="65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22"/>
      <c r="AM226" s="22"/>
      <c r="AN226" s="22"/>
      <c r="AO226" s="36"/>
      <c r="AP226" s="36"/>
      <c r="AQ226" s="36"/>
      <c r="AR226" s="40"/>
      <c r="AS226" s="40"/>
      <c r="AT226" s="234"/>
      <c r="AU226" s="234"/>
      <c r="AV226" s="234"/>
      <c r="AW226" s="234"/>
    </row>
    <row r="227" spans="1:49" s="69" customFormat="1" ht="15" customHeight="1" x14ac:dyDescent="0.25">
      <c r="A227" s="65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22"/>
      <c r="AM227" s="22"/>
      <c r="AN227" s="22"/>
      <c r="AO227" s="36"/>
      <c r="AP227" s="36"/>
      <c r="AQ227" s="36"/>
      <c r="AR227" s="40"/>
      <c r="AS227" s="40"/>
      <c r="AT227" s="234"/>
      <c r="AU227" s="234"/>
      <c r="AV227" s="234"/>
      <c r="AW227" s="234"/>
    </row>
    <row r="228" spans="1:49" s="69" customFormat="1" ht="15" customHeight="1" x14ac:dyDescent="0.25">
      <c r="A228" s="65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22"/>
      <c r="AM228" s="22"/>
      <c r="AN228" s="22"/>
      <c r="AO228" s="36"/>
      <c r="AP228" s="36"/>
      <c r="AQ228" s="36"/>
      <c r="AR228" s="40"/>
      <c r="AS228" s="40"/>
      <c r="AT228" s="234"/>
      <c r="AU228" s="234"/>
      <c r="AV228" s="234"/>
      <c r="AW228" s="234"/>
    </row>
    <row r="229" spans="1:49" s="69" customFormat="1" ht="15" customHeight="1" x14ac:dyDescent="0.25">
      <c r="A229" s="65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22"/>
      <c r="AM229" s="22"/>
      <c r="AN229" s="22"/>
      <c r="AO229" s="36"/>
      <c r="AP229" s="36"/>
      <c r="AQ229" s="36"/>
      <c r="AR229" s="40"/>
      <c r="AS229" s="40"/>
      <c r="AT229" s="234"/>
      <c r="AU229" s="234"/>
      <c r="AV229" s="234"/>
      <c r="AW229" s="234"/>
    </row>
  </sheetData>
  <sortState xmlns:xlrd2="http://schemas.microsoft.com/office/spreadsheetml/2017/richdata2" ref="B28:AQ29">
    <sortCondition ref="B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57031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5" t="s">
        <v>33</v>
      </c>
      <c r="C1" s="6"/>
      <c r="D1" s="7"/>
      <c r="E1" s="8" t="s">
        <v>55</v>
      </c>
      <c r="F1" s="183"/>
      <c r="G1" s="79"/>
      <c r="H1" s="79"/>
      <c r="I1" s="5"/>
      <c r="J1" s="6"/>
      <c r="K1" s="15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83"/>
      <c r="AB1" s="183"/>
      <c r="AC1" s="79"/>
      <c r="AD1" s="79"/>
      <c r="AE1" s="5"/>
      <c r="AF1" s="6"/>
      <c r="AG1" s="15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70" t="s">
        <v>58</v>
      </c>
      <c r="C2" s="71"/>
      <c r="D2" s="184"/>
      <c r="E2" s="12" t="s">
        <v>13</v>
      </c>
      <c r="F2" s="13"/>
      <c r="G2" s="13"/>
      <c r="H2" s="13"/>
      <c r="I2" s="19"/>
      <c r="J2" s="14"/>
      <c r="K2" s="124"/>
      <c r="L2" s="21" t="s">
        <v>250</v>
      </c>
      <c r="M2" s="13"/>
      <c r="N2" s="13"/>
      <c r="O2" s="20"/>
      <c r="P2" s="18"/>
      <c r="Q2" s="21" t="s">
        <v>251</v>
      </c>
      <c r="R2" s="13"/>
      <c r="S2" s="13"/>
      <c r="T2" s="13"/>
      <c r="U2" s="19"/>
      <c r="V2" s="20"/>
      <c r="W2" s="18"/>
      <c r="X2" s="185" t="s">
        <v>234</v>
      </c>
      <c r="Y2" s="186"/>
      <c r="Z2" s="160"/>
      <c r="AA2" s="12" t="s">
        <v>13</v>
      </c>
      <c r="AB2" s="13"/>
      <c r="AC2" s="13"/>
      <c r="AD2" s="13"/>
      <c r="AE2" s="19"/>
      <c r="AF2" s="14"/>
      <c r="AG2" s="124"/>
      <c r="AH2" s="21" t="s">
        <v>252</v>
      </c>
      <c r="AI2" s="13"/>
      <c r="AJ2" s="13"/>
      <c r="AK2" s="20"/>
      <c r="AL2" s="18"/>
      <c r="AM2" s="21" t="s">
        <v>251</v>
      </c>
      <c r="AN2" s="13"/>
      <c r="AO2" s="13"/>
      <c r="AP2" s="13"/>
      <c r="AQ2" s="19"/>
      <c r="AR2" s="20"/>
      <c r="AS2" s="134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34"/>
      <c r="L3" s="17" t="s">
        <v>5</v>
      </c>
      <c r="M3" s="17" t="s">
        <v>6</v>
      </c>
      <c r="N3" s="17" t="s">
        <v>59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3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34"/>
      <c r="AH3" s="17" t="s">
        <v>5</v>
      </c>
      <c r="AI3" s="17" t="s">
        <v>6</v>
      </c>
      <c r="AJ3" s="17" t="s">
        <v>59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34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>
        <v>1998</v>
      </c>
      <c r="C4" s="34" t="s">
        <v>50</v>
      </c>
      <c r="D4" s="30" t="s">
        <v>51</v>
      </c>
      <c r="E4" s="27">
        <v>24</v>
      </c>
      <c r="F4" s="27">
        <v>6</v>
      </c>
      <c r="G4" s="27">
        <v>8</v>
      </c>
      <c r="H4" s="32">
        <v>26</v>
      </c>
      <c r="I4" s="27">
        <v>102</v>
      </c>
      <c r="J4" s="31"/>
      <c r="K4" s="39"/>
      <c r="L4" s="96"/>
      <c r="M4" s="17"/>
      <c r="N4" s="17"/>
      <c r="O4" s="17"/>
      <c r="P4" s="22"/>
      <c r="Q4" s="27"/>
      <c r="R4" s="27"/>
      <c r="S4" s="32"/>
      <c r="T4" s="27"/>
      <c r="U4" s="27"/>
      <c r="V4" s="187"/>
      <c r="W4" s="39"/>
      <c r="X4" s="27"/>
      <c r="Y4" s="34"/>
      <c r="Z4" s="30"/>
      <c r="AA4" s="27"/>
      <c r="AB4" s="27"/>
      <c r="AC4" s="27"/>
      <c r="AD4" s="32"/>
      <c r="AE4" s="27"/>
      <c r="AF4" s="31"/>
      <c r="AG4" s="39"/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188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ht="14.25" x14ac:dyDescent="0.2">
      <c r="A5" s="36"/>
      <c r="B5" s="81" t="s">
        <v>236</v>
      </c>
      <c r="C5" s="75"/>
      <c r="D5" s="74"/>
      <c r="E5" s="73">
        <f>SUM(E4:E4)</f>
        <v>24</v>
      </c>
      <c r="F5" s="73">
        <f>SUM(F4:F4)</f>
        <v>6</v>
      </c>
      <c r="G5" s="73">
        <f>SUM(G4:G4)</f>
        <v>8</v>
      </c>
      <c r="H5" s="73">
        <f>SUM(H4:H4)</f>
        <v>26</v>
      </c>
      <c r="I5" s="73">
        <f>SUM(I4:I4)</f>
        <v>102</v>
      </c>
      <c r="J5" s="165">
        <v>0</v>
      </c>
      <c r="K5" s="124">
        <f>SUM(K4:K4)</f>
        <v>0</v>
      </c>
      <c r="L5" s="21"/>
      <c r="M5" s="19"/>
      <c r="N5" s="149"/>
      <c r="O5" s="150"/>
      <c r="P5" s="22"/>
      <c r="Q5" s="73">
        <f>SUM(Q4:Q4)</f>
        <v>0</v>
      </c>
      <c r="R5" s="73">
        <f>SUM(R4:R4)</f>
        <v>0</v>
      </c>
      <c r="S5" s="73">
        <f>SUM(S4:S4)</f>
        <v>0</v>
      </c>
      <c r="T5" s="73">
        <f>SUM(T4:T4)</f>
        <v>0</v>
      </c>
      <c r="U5" s="73">
        <f>SUM(U4:U4)</f>
        <v>0</v>
      </c>
      <c r="V5" s="33">
        <v>0</v>
      </c>
      <c r="W5" s="124">
        <f>SUM(W4:W4)</f>
        <v>0</v>
      </c>
      <c r="X5" s="15" t="s">
        <v>236</v>
      </c>
      <c r="Y5" s="16"/>
      <c r="Z5" s="14"/>
      <c r="AA5" s="73">
        <f>SUM(AA4:AA4)</f>
        <v>0</v>
      </c>
      <c r="AB5" s="73">
        <f>SUM(AB4:AB4)</f>
        <v>0</v>
      </c>
      <c r="AC5" s="73">
        <f>SUM(AC4:AC4)</f>
        <v>0</v>
      </c>
      <c r="AD5" s="73">
        <f>SUM(AD4:AD4)</f>
        <v>0</v>
      </c>
      <c r="AE5" s="73">
        <f>SUM(AE4:AE4)</f>
        <v>0</v>
      </c>
      <c r="AF5" s="165">
        <v>0</v>
      </c>
      <c r="AG5" s="124">
        <f>SUM(AG4:AG4)</f>
        <v>0</v>
      </c>
      <c r="AH5" s="21"/>
      <c r="AI5" s="19"/>
      <c r="AJ5" s="149"/>
      <c r="AK5" s="150"/>
      <c r="AL5" s="22"/>
      <c r="AM5" s="73">
        <f>SUM(AM4:AM4)</f>
        <v>0</v>
      </c>
      <c r="AN5" s="73">
        <f>SUM(AN4:AN4)</f>
        <v>0</v>
      </c>
      <c r="AO5" s="73">
        <f>SUM(AO4:AO4)</f>
        <v>0</v>
      </c>
      <c r="AP5" s="73">
        <f>SUM(AP4:AP4)</f>
        <v>0</v>
      </c>
      <c r="AQ5" s="73">
        <f>SUM(AQ4:AQ4)</f>
        <v>0</v>
      </c>
      <c r="AR5" s="165">
        <v>0</v>
      </c>
      <c r="AS5" s="134">
        <f>SUM(AS4:AS4)</f>
        <v>0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36"/>
      <c r="C6" s="36"/>
      <c r="D6" s="36"/>
      <c r="E6" s="36"/>
      <c r="F6" s="36"/>
      <c r="G6" s="36"/>
      <c r="H6" s="36"/>
      <c r="I6" s="36"/>
      <c r="J6" s="37"/>
      <c r="K6" s="39"/>
      <c r="L6" s="22"/>
      <c r="M6" s="22"/>
      <c r="N6" s="22"/>
      <c r="O6" s="22"/>
      <c r="P6" s="36"/>
      <c r="Q6" s="36"/>
      <c r="R6" s="36"/>
      <c r="S6" s="36"/>
      <c r="T6" s="36"/>
      <c r="U6" s="22"/>
      <c r="V6" s="22"/>
      <c r="W6" s="39"/>
      <c r="X6" s="36"/>
      <c r="Y6" s="36"/>
      <c r="Z6" s="36"/>
      <c r="AA6" s="36"/>
      <c r="AB6" s="36"/>
      <c r="AC6" s="36"/>
      <c r="AD6" s="36"/>
      <c r="AE6" s="36"/>
      <c r="AF6" s="37"/>
      <c r="AG6" s="39"/>
      <c r="AH6" s="22"/>
      <c r="AI6" s="22"/>
      <c r="AJ6" s="22"/>
      <c r="AK6" s="22"/>
      <c r="AL6" s="36"/>
      <c r="AM6" s="36"/>
      <c r="AN6" s="36"/>
      <c r="AO6" s="36"/>
      <c r="AP6" s="36"/>
      <c r="AQ6" s="22"/>
      <c r="AR6" s="22"/>
      <c r="AS6" s="39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168" t="s">
        <v>235</v>
      </c>
      <c r="C7" s="169"/>
      <c r="D7" s="170"/>
      <c r="E7" s="14" t="s">
        <v>3</v>
      </c>
      <c r="F7" s="17" t="s">
        <v>8</v>
      </c>
      <c r="G7" s="14" t="s">
        <v>5</v>
      </c>
      <c r="H7" s="17" t="s">
        <v>6</v>
      </c>
      <c r="I7" s="17" t="s">
        <v>17</v>
      </c>
      <c r="J7" s="17" t="s">
        <v>22</v>
      </c>
      <c r="K7" s="22"/>
      <c r="L7" s="17" t="s">
        <v>27</v>
      </c>
      <c r="M7" s="17" t="s">
        <v>28</v>
      </c>
      <c r="N7" s="17" t="s">
        <v>253</v>
      </c>
      <c r="O7" s="17" t="s">
        <v>254</v>
      </c>
      <c r="Q7" s="36"/>
      <c r="R7" s="36" t="s">
        <v>53</v>
      </c>
      <c r="S7" s="36"/>
      <c r="T7" s="36" t="s">
        <v>56</v>
      </c>
      <c r="U7" s="22"/>
      <c r="V7" s="39"/>
      <c r="W7" s="39"/>
      <c r="X7" s="39"/>
      <c r="Y7" s="39"/>
      <c r="Z7" s="39"/>
      <c r="AA7" s="39"/>
      <c r="AB7" s="39"/>
      <c r="AC7" s="36"/>
      <c r="AD7" s="36"/>
      <c r="AE7" s="36"/>
      <c r="AF7" s="36"/>
      <c r="AG7" s="36"/>
      <c r="AH7" s="36"/>
      <c r="AI7" s="36"/>
      <c r="AJ7" s="36"/>
      <c r="AK7" s="36"/>
      <c r="AM7" s="39"/>
      <c r="AN7" s="39"/>
      <c r="AO7" s="39"/>
      <c r="AP7" s="39"/>
      <c r="AQ7" s="39"/>
      <c r="AR7" s="39"/>
      <c r="AS7" s="39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42" t="s">
        <v>12</v>
      </c>
      <c r="C8" s="11"/>
      <c r="D8" s="44"/>
      <c r="E8" s="171">
        <v>853</v>
      </c>
      <c r="F8" s="171">
        <v>126</v>
      </c>
      <c r="G8" s="171">
        <v>1434</v>
      </c>
      <c r="H8" s="171">
        <v>508</v>
      </c>
      <c r="I8" s="171">
        <v>4441</v>
      </c>
      <c r="J8" s="189">
        <v>0.60099999999999998</v>
      </c>
      <c r="K8" s="36">
        <f>PRODUCT(I8/J8)</f>
        <v>7389.3510815307827</v>
      </c>
      <c r="L8" s="172">
        <f>PRODUCT((F8+G8)/E8)</f>
        <v>1.8288393903868698</v>
      </c>
      <c r="M8" s="172">
        <f>PRODUCT(H8/E8)</f>
        <v>0.59554513481828841</v>
      </c>
      <c r="N8" s="172">
        <f>PRODUCT((F8+G8+H8)/E8)</f>
        <v>2.4243845252051583</v>
      </c>
      <c r="O8" s="172">
        <f>PRODUCT(I8/E8)</f>
        <v>5.2063305978898011</v>
      </c>
      <c r="Q8" s="36"/>
      <c r="R8" s="36"/>
      <c r="S8" s="36"/>
      <c r="T8" s="36" t="s">
        <v>54</v>
      </c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62" t="s">
        <v>58</v>
      </c>
      <c r="C9" s="163"/>
      <c r="D9" s="164"/>
      <c r="E9" s="171">
        <f>PRODUCT(E5+Q5)</f>
        <v>24</v>
      </c>
      <c r="F9" s="171">
        <f>PRODUCT(F5+R5)</f>
        <v>6</v>
      </c>
      <c r="G9" s="171">
        <f>PRODUCT(G5+S5)</f>
        <v>8</v>
      </c>
      <c r="H9" s="171">
        <f>PRODUCT(H5+T5)</f>
        <v>26</v>
      </c>
      <c r="I9" s="171">
        <f>PRODUCT(I5+U5)</f>
        <v>102</v>
      </c>
      <c r="J9" s="189"/>
      <c r="K9" s="36">
        <f>PRODUCT(K5+W5)</f>
        <v>0</v>
      </c>
      <c r="L9" s="172">
        <f>PRODUCT((F9+G9)/E9)</f>
        <v>0.58333333333333337</v>
      </c>
      <c r="M9" s="172">
        <f>PRODUCT(H9/E9)</f>
        <v>1.0833333333333333</v>
      </c>
      <c r="N9" s="172">
        <f>PRODUCT((F9+G9+H9)/E9)</f>
        <v>1.6666666666666667</v>
      </c>
      <c r="O9" s="172">
        <f>PRODUCT(I9/E9)</f>
        <v>4.25</v>
      </c>
      <c r="Q9" s="36"/>
      <c r="R9" s="36"/>
      <c r="S9" s="36"/>
      <c r="T9" s="111" t="s">
        <v>213</v>
      </c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166" t="s">
        <v>234</v>
      </c>
      <c r="C10" s="167"/>
      <c r="D10" s="161"/>
      <c r="E10" s="171">
        <f>PRODUCT(AA5+AM5)</f>
        <v>0</v>
      </c>
      <c r="F10" s="171">
        <f>PRODUCT(AB5+AN5)</f>
        <v>0</v>
      </c>
      <c r="G10" s="171">
        <f>PRODUCT(AC5+AO5)</f>
        <v>0</v>
      </c>
      <c r="H10" s="171">
        <f>PRODUCT(AD5+AP5)</f>
        <v>0</v>
      </c>
      <c r="I10" s="171">
        <f>PRODUCT(AE5+AQ5)</f>
        <v>0</v>
      </c>
      <c r="J10" s="189">
        <v>0</v>
      </c>
      <c r="K10" s="22">
        <f>PRODUCT(AG5+AS5)</f>
        <v>0</v>
      </c>
      <c r="L10" s="172">
        <v>0</v>
      </c>
      <c r="M10" s="172">
        <v>0</v>
      </c>
      <c r="N10" s="172">
        <v>0</v>
      </c>
      <c r="O10" s="172">
        <v>0</v>
      </c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22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25" t="s">
        <v>236</v>
      </c>
      <c r="C11" s="98"/>
      <c r="D11" s="126"/>
      <c r="E11" s="171">
        <f>SUM(E8:E10)</f>
        <v>877</v>
      </c>
      <c r="F11" s="171">
        <f t="shared" ref="F11:I11" si="0">SUM(F8:F10)</f>
        <v>132</v>
      </c>
      <c r="G11" s="171">
        <f t="shared" si="0"/>
        <v>1442</v>
      </c>
      <c r="H11" s="171">
        <f t="shared" si="0"/>
        <v>534</v>
      </c>
      <c r="I11" s="171">
        <f t="shared" si="0"/>
        <v>4543</v>
      </c>
      <c r="J11" s="189"/>
      <c r="K11" s="36">
        <f>SUM(K8:K10)</f>
        <v>7389.3510815307827</v>
      </c>
      <c r="L11" s="172">
        <f>PRODUCT((F11+G11)/E11)</f>
        <v>1.7947548460661344</v>
      </c>
      <c r="M11" s="172">
        <f>PRODUCT(H11/E11)</f>
        <v>0.60889395667046753</v>
      </c>
      <c r="N11" s="172">
        <f>PRODUCT((F11+G11+H11)/E11)</f>
        <v>2.4036488027366021</v>
      </c>
      <c r="O11" s="172">
        <f>PRODUCT(I11/E11)</f>
        <v>5.1801596351197263</v>
      </c>
      <c r="Q11" s="22"/>
      <c r="R11" s="22"/>
      <c r="S11" s="22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36"/>
      <c r="C12" s="36"/>
      <c r="D12" s="36"/>
      <c r="E12" s="22"/>
      <c r="F12" s="22"/>
      <c r="G12" s="22"/>
      <c r="H12" s="22"/>
      <c r="I12" s="22"/>
      <c r="J12" s="36"/>
      <c r="K12" s="36"/>
      <c r="L12" s="22"/>
      <c r="M12" s="22"/>
      <c r="N12" s="22"/>
      <c r="O12" s="22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J50" s="36"/>
      <c r="K50" s="36"/>
      <c r="L50"/>
      <c r="M50"/>
      <c r="N50"/>
      <c r="O50"/>
      <c r="P50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J51" s="36"/>
      <c r="K51" s="36"/>
      <c r="L51"/>
      <c r="M51"/>
      <c r="N51"/>
      <c r="O51"/>
      <c r="P51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22"/>
      <c r="R84" s="22"/>
      <c r="S84" s="22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2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22"/>
      <c r="R85" s="22"/>
      <c r="S85" s="22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2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2"/>
      <c r="R86" s="22"/>
      <c r="S86" s="22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2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2"/>
      <c r="R87" s="22"/>
      <c r="S87" s="22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2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2"/>
      <c r="R88" s="22"/>
      <c r="S88" s="22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2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2"/>
      <c r="R89" s="22"/>
      <c r="S89" s="22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2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2"/>
      <c r="R90" s="22"/>
      <c r="S90" s="22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2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2"/>
      <c r="R91" s="22"/>
      <c r="S91" s="22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2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2"/>
      <c r="R92" s="22"/>
      <c r="S92" s="22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2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2"/>
      <c r="R93" s="22"/>
      <c r="S93" s="22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2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2"/>
    </row>
    <row r="171" spans="1:57" ht="14.25" x14ac:dyDescent="0.2"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2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2"/>
    </row>
    <row r="173" spans="1:57" ht="14.25" x14ac:dyDescent="0.2">
      <c r="L173" s="22"/>
      <c r="M173" s="22"/>
      <c r="N173" s="22"/>
      <c r="O173" s="22"/>
      <c r="P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2"/>
    </row>
    <row r="174" spans="1:57" ht="14.25" x14ac:dyDescent="0.2">
      <c r="L174" s="22"/>
      <c r="M174" s="22"/>
      <c r="N174" s="22"/>
      <c r="O174" s="22"/>
      <c r="P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2"/>
    </row>
    <row r="175" spans="1:57" ht="14.25" x14ac:dyDescent="0.2">
      <c r="L175" s="22"/>
      <c r="M175" s="22"/>
      <c r="N175" s="22"/>
      <c r="O175" s="22"/>
      <c r="P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22"/>
      <c r="AL176" s="22"/>
    </row>
    <row r="177" spans="12:38" x14ac:dyDescent="0.25">
      <c r="R177" s="39"/>
      <c r="S177" s="39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</row>
    <row r="178" spans="12:38" x14ac:dyDescent="0.25">
      <c r="R178" s="39"/>
      <c r="S178" s="39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2:38" x14ac:dyDescent="0.25">
      <c r="R179" s="39"/>
      <c r="S179" s="39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L180"/>
      <c r="M180"/>
      <c r="N180"/>
      <c r="O180"/>
      <c r="P180"/>
      <c r="R180" s="39"/>
      <c r="S180" s="39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/>
      <c r="AL180"/>
    </row>
    <row r="181" spans="12:38" x14ac:dyDescent="0.25">
      <c r="L181"/>
      <c r="M181"/>
      <c r="N181"/>
      <c r="O181"/>
      <c r="P181"/>
      <c r="R181" s="39"/>
      <c r="S181" s="39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/>
      <c r="AL181"/>
    </row>
    <row r="182" spans="12:38" x14ac:dyDescent="0.25">
      <c r="L182"/>
      <c r="M182"/>
      <c r="N182"/>
      <c r="O182"/>
      <c r="P182"/>
      <c r="R182" s="39"/>
      <c r="S182" s="39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9"/>
      <c r="S183" s="39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9"/>
      <c r="S184" s="3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ht="14.25" x14ac:dyDescent="0.2">
      <c r="L205"/>
      <c r="M205"/>
      <c r="N205"/>
      <c r="O205"/>
      <c r="P205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ht="14.25" x14ac:dyDescent="0.2">
      <c r="L206"/>
      <c r="M206"/>
      <c r="N206"/>
      <c r="O206"/>
      <c r="P20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0"/>
  <sheetViews>
    <sheetView zoomScale="97" zoomScaleNormal="97" workbookViewId="0">
      <selection activeCell="B1" sqref="B1"/>
    </sheetView>
  </sheetViews>
  <sheetFormatPr defaultRowHeight="15" x14ac:dyDescent="0.25"/>
  <cols>
    <col min="1" max="1" width="0.7109375" style="69" customWidth="1"/>
    <col min="2" max="2" width="27.28515625" style="62" customWidth="1"/>
    <col min="3" max="3" width="25" style="61" customWidth="1"/>
    <col min="4" max="4" width="10.5703125" style="116" customWidth="1"/>
    <col min="5" max="5" width="8.85546875" style="116" customWidth="1"/>
    <col min="6" max="6" width="0.5703125" style="39" customWidth="1"/>
    <col min="7" max="7" width="5.7109375" style="61" customWidth="1"/>
    <col min="8" max="11" width="5.28515625" style="61" customWidth="1"/>
    <col min="12" max="12" width="5.85546875" style="61" customWidth="1"/>
    <col min="13" max="16" width="5.28515625" style="61" customWidth="1"/>
    <col min="17" max="21" width="6.7109375" style="147" customWidth="1"/>
    <col min="22" max="22" width="10.7109375" style="61" customWidth="1"/>
    <col min="23" max="23" width="24.7109375" style="116" customWidth="1"/>
    <col min="24" max="24" width="9.7109375" style="61" customWidth="1"/>
  </cols>
  <sheetData>
    <row r="1" spans="1:30" ht="18.75" x14ac:dyDescent="0.3">
      <c r="A1" s="60"/>
      <c r="B1" s="131" t="s">
        <v>148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35"/>
      <c r="R1" s="135"/>
      <c r="S1" s="135"/>
      <c r="T1" s="135"/>
      <c r="U1" s="135"/>
      <c r="V1" s="71"/>
      <c r="W1" s="76"/>
      <c r="X1" s="63"/>
      <c r="Y1" s="77"/>
      <c r="Z1" s="77"/>
      <c r="AA1" s="77"/>
      <c r="AB1" s="77"/>
      <c r="AC1" s="77"/>
      <c r="AD1" s="77"/>
    </row>
    <row r="2" spans="1:30" x14ac:dyDescent="0.25">
      <c r="A2" s="60"/>
      <c r="B2" s="9" t="s">
        <v>61</v>
      </c>
      <c r="C2" s="8" t="s">
        <v>55</v>
      </c>
      <c r="D2" s="10"/>
      <c r="E2" s="10"/>
      <c r="F2" s="78"/>
      <c r="G2" s="79"/>
      <c r="H2" s="10"/>
      <c r="I2" s="10"/>
      <c r="J2" s="10"/>
      <c r="K2" s="10"/>
      <c r="L2" s="10"/>
      <c r="M2" s="10"/>
      <c r="N2" s="10"/>
      <c r="O2" s="10"/>
      <c r="P2" s="10"/>
      <c r="Q2" s="136"/>
      <c r="R2" s="136"/>
      <c r="S2" s="136"/>
      <c r="T2" s="136"/>
      <c r="U2" s="136"/>
      <c r="V2" s="10"/>
      <c r="W2" s="79"/>
      <c r="X2" s="32"/>
      <c r="Y2" s="77"/>
      <c r="Z2" s="77"/>
      <c r="AA2" s="77"/>
      <c r="AB2" s="77"/>
      <c r="AC2" s="77"/>
      <c r="AD2" s="77"/>
    </row>
    <row r="3" spans="1:30" x14ac:dyDescent="0.25">
      <c r="A3" s="60"/>
      <c r="B3" s="80" t="s">
        <v>62</v>
      </c>
      <c r="C3" s="21" t="s">
        <v>63</v>
      </c>
      <c r="D3" s="81" t="s">
        <v>64</v>
      </c>
      <c r="E3" s="82" t="s">
        <v>1</v>
      </c>
      <c r="F3" s="22"/>
      <c r="G3" s="73" t="s">
        <v>65</v>
      </c>
      <c r="H3" s="74" t="s">
        <v>66</v>
      </c>
      <c r="I3" s="74" t="s">
        <v>31</v>
      </c>
      <c r="J3" s="16" t="s">
        <v>67</v>
      </c>
      <c r="K3" s="75" t="s">
        <v>68</v>
      </c>
      <c r="L3" s="75" t="s">
        <v>69</v>
      </c>
      <c r="M3" s="73" t="s">
        <v>70</v>
      </c>
      <c r="N3" s="73" t="s">
        <v>30</v>
      </c>
      <c r="O3" s="74" t="s">
        <v>71</v>
      </c>
      <c r="P3" s="73" t="s">
        <v>66</v>
      </c>
      <c r="Q3" s="137" t="s">
        <v>17</v>
      </c>
      <c r="R3" s="137">
        <v>1</v>
      </c>
      <c r="S3" s="137">
        <v>2</v>
      </c>
      <c r="T3" s="137">
        <v>3</v>
      </c>
      <c r="U3" s="137" t="s">
        <v>72</v>
      </c>
      <c r="V3" s="16" t="s">
        <v>22</v>
      </c>
      <c r="W3" s="15" t="s">
        <v>73</v>
      </c>
      <c r="X3" s="15" t="s">
        <v>74</v>
      </c>
      <c r="Y3" s="77"/>
      <c r="Z3" s="77"/>
      <c r="AA3" s="77"/>
      <c r="AB3" s="77"/>
      <c r="AC3" s="77"/>
      <c r="AD3" s="77"/>
    </row>
    <row r="4" spans="1:30" x14ac:dyDescent="0.25">
      <c r="A4" s="60"/>
      <c r="B4" s="83" t="s">
        <v>75</v>
      </c>
      <c r="C4" s="84" t="s">
        <v>76</v>
      </c>
      <c r="D4" s="85" t="s">
        <v>77</v>
      </c>
      <c r="E4" s="86" t="s">
        <v>35</v>
      </c>
      <c r="F4" s="22"/>
      <c r="G4" s="87"/>
      <c r="H4" s="87"/>
      <c r="I4" s="88">
        <v>1</v>
      </c>
      <c r="J4" s="87"/>
      <c r="K4" s="87" t="s">
        <v>78</v>
      </c>
      <c r="L4" s="89"/>
      <c r="M4" s="87">
        <v>1</v>
      </c>
      <c r="N4" s="87"/>
      <c r="O4" s="87"/>
      <c r="P4" s="87"/>
      <c r="Q4" s="91" t="s">
        <v>149</v>
      </c>
      <c r="R4" s="91"/>
      <c r="S4" s="138" t="s">
        <v>150</v>
      </c>
      <c r="T4" s="138" t="s">
        <v>150</v>
      </c>
      <c r="U4" s="138" t="s">
        <v>150</v>
      </c>
      <c r="V4" s="90">
        <v>0</v>
      </c>
      <c r="W4" s="84" t="s">
        <v>79</v>
      </c>
      <c r="X4" s="91" t="s">
        <v>80</v>
      </c>
      <c r="Y4" s="77"/>
      <c r="Z4" s="77"/>
      <c r="AA4" s="77"/>
      <c r="AB4" s="77"/>
      <c r="AC4" s="77"/>
      <c r="AD4" s="77"/>
    </row>
    <row r="5" spans="1:30" x14ac:dyDescent="0.25">
      <c r="A5" s="60"/>
      <c r="B5" s="83" t="s">
        <v>81</v>
      </c>
      <c r="C5" s="84" t="s">
        <v>82</v>
      </c>
      <c r="D5" s="85" t="s">
        <v>77</v>
      </c>
      <c r="E5" s="86" t="s">
        <v>35</v>
      </c>
      <c r="F5" s="22"/>
      <c r="G5" s="87"/>
      <c r="H5" s="87"/>
      <c r="I5" s="88">
        <v>1</v>
      </c>
      <c r="J5" s="87" t="s">
        <v>83</v>
      </c>
      <c r="K5" s="87">
        <v>5</v>
      </c>
      <c r="L5" s="89" t="s">
        <v>84</v>
      </c>
      <c r="M5" s="87">
        <v>1</v>
      </c>
      <c r="N5" s="87"/>
      <c r="O5" s="87">
        <v>1</v>
      </c>
      <c r="P5" s="87"/>
      <c r="Q5" s="91" t="s">
        <v>151</v>
      </c>
      <c r="R5" s="91" t="s">
        <v>152</v>
      </c>
      <c r="S5" s="138" t="s">
        <v>153</v>
      </c>
      <c r="T5" s="138" t="s">
        <v>154</v>
      </c>
      <c r="U5" s="138" t="s">
        <v>152</v>
      </c>
      <c r="V5" s="90">
        <v>0.83299999999999996</v>
      </c>
      <c r="W5" s="84" t="s">
        <v>85</v>
      </c>
      <c r="X5" s="91" t="s">
        <v>86</v>
      </c>
      <c r="Y5" s="77"/>
      <c r="Z5" s="77"/>
      <c r="AA5" s="77"/>
      <c r="AB5" s="77"/>
      <c r="AC5" s="77"/>
      <c r="AD5" s="77"/>
    </row>
    <row r="6" spans="1:30" x14ac:dyDescent="0.25">
      <c r="A6" s="60"/>
      <c r="B6" s="83" t="s">
        <v>87</v>
      </c>
      <c r="C6" s="84" t="s">
        <v>88</v>
      </c>
      <c r="D6" s="85" t="s">
        <v>77</v>
      </c>
      <c r="E6" s="86" t="s">
        <v>35</v>
      </c>
      <c r="F6" s="22"/>
      <c r="G6" s="87">
        <v>1</v>
      </c>
      <c r="H6" s="87"/>
      <c r="I6" s="88"/>
      <c r="J6" s="87"/>
      <c r="K6" s="87" t="s">
        <v>78</v>
      </c>
      <c r="L6" s="89"/>
      <c r="M6" s="87">
        <v>1</v>
      </c>
      <c r="N6" s="87"/>
      <c r="O6" s="87"/>
      <c r="P6" s="87">
        <v>1</v>
      </c>
      <c r="Q6" s="91" t="s">
        <v>155</v>
      </c>
      <c r="R6" s="91" t="s">
        <v>156</v>
      </c>
      <c r="S6" s="138" t="s">
        <v>157</v>
      </c>
      <c r="T6" s="138" t="s">
        <v>158</v>
      </c>
      <c r="U6" s="138" t="s">
        <v>150</v>
      </c>
      <c r="V6" s="90">
        <v>0.308</v>
      </c>
      <c r="W6" s="84" t="s">
        <v>89</v>
      </c>
      <c r="X6" s="91" t="s">
        <v>90</v>
      </c>
      <c r="Y6" s="77"/>
      <c r="Z6" s="77"/>
      <c r="AA6" s="77"/>
      <c r="AB6" s="77"/>
      <c r="AC6" s="77"/>
      <c r="AD6" s="77"/>
    </row>
    <row r="7" spans="1:30" x14ac:dyDescent="0.25">
      <c r="A7" s="65"/>
      <c r="B7" s="83" t="s">
        <v>91</v>
      </c>
      <c r="C7" s="84" t="s">
        <v>92</v>
      </c>
      <c r="D7" s="85" t="s">
        <v>77</v>
      </c>
      <c r="E7" s="86" t="s">
        <v>35</v>
      </c>
      <c r="F7" s="22"/>
      <c r="G7" s="87"/>
      <c r="H7" s="87"/>
      <c r="I7" s="88">
        <v>1</v>
      </c>
      <c r="J7" s="87"/>
      <c r="K7" s="87" t="s">
        <v>78</v>
      </c>
      <c r="L7" s="89"/>
      <c r="M7" s="87">
        <v>1</v>
      </c>
      <c r="N7" s="87"/>
      <c r="O7" s="87"/>
      <c r="P7" s="87"/>
      <c r="Q7" s="138" t="s">
        <v>159</v>
      </c>
      <c r="R7" s="91"/>
      <c r="S7" s="138" t="s">
        <v>154</v>
      </c>
      <c r="T7" s="138" t="s">
        <v>156</v>
      </c>
      <c r="U7" s="138" t="s">
        <v>160</v>
      </c>
      <c r="V7" s="90">
        <v>0.42899999999999999</v>
      </c>
      <c r="W7" s="84" t="s">
        <v>93</v>
      </c>
      <c r="X7" s="91" t="s">
        <v>94</v>
      </c>
      <c r="Y7" s="77"/>
      <c r="Z7" s="77"/>
      <c r="AA7" s="77"/>
      <c r="AB7" s="77"/>
      <c r="AC7" s="77"/>
      <c r="AD7" s="77"/>
    </row>
    <row r="8" spans="1:30" x14ac:dyDescent="0.25">
      <c r="A8" s="65"/>
      <c r="B8" s="83" t="s">
        <v>95</v>
      </c>
      <c r="C8" s="84" t="s">
        <v>96</v>
      </c>
      <c r="D8" s="85" t="s">
        <v>77</v>
      </c>
      <c r="E8" s="86" t="s">
        <v>35</v>
      </c>
      <c r="F8" s="22"/>
      <c r="G8" s="87"/>
      <c r="H8" s="87"/>
      <c r="I8" s="88">
        <v>1</v>
      </c>
      <c r="J8" s="87"/>
      <c r="K8" s="87" t="s">
        <v>78</v>
      </c>
      <c r="L8" s="89"/>
      <c r="M8" s="87">
        <v>1</v>
      </c>
      <c r="N8" s="87">
        <v>1</v>
      </c>
      <c r="O8" s="87">
        <v>2</v>
      </c>
      <c r="P8" s="87">
        <v>2</v>
      </c>
      <c r="Q8" s="91" t="s">
        <v>161</v>
      </c>
      <c r="R8" s="91"/>
      <c r="S8" s="138" t="s">
        <v>150</v>
      </c>
      <c r="T8" s="138" t="s">
        <v>162</v>
      </c>
      <c r="U8" s="138" t="s">
        <v>163</v>
      </c>
      <c r="V8" s="90">
        <v>0.6</v>
      </c>
      <c r="W8" s="84" t="s">
        <v>97</v>
      </c>
      <c r="X8" s="91" t="s">
        <v>98</v>
      </c>
      <c r="Y8" s="77"/>
      <c r="Z8" s="77"/>
      <c r="AA8" s="77"/>
      <c r="AB8" s="77"/>
      <c r="AC8" s="77"/>
      <c r="AD8" s="77"/>
    </row>
    <row r="9" spans="1:30" x14ac:dyDescent="0.25">
      <c r="A9" s="65"/>
      <c r="B9" s="83" t="s">
        <v>99</v>
      </c>
      <c r="C9" s="84" t="s">
        <v>100</v>
      </c>
      <c r="D9" s="85" t="s">
        <v>77</v>
      </c>
      <c r="E9" s="92" t="s">
        <v>35</v>
      </c>
      <c r="F9" s="22"/>
      <c r="G9" s="87">
        <v>1</v>
      </c>
      <c r="H9" s="87"/>
      <c r="I9" s="88"/>
      <c r="J9" s="87" t="s">
        <v>83</v>
      </c>
      <c r="K9" s="87">
        <v>4</v>
      </c>
      <c r="L9" s="89" t="s">
        <v>101</v>
      </c>
      <c r="M9" s="87">
        <v>1</v>
      </c>
      <c r="N9" s="87"/>
      <c r="O9" s="87">
        <v>4</v>
      </c>
      <c r="P9" s="87"/>
      <c r="Q9" s="138" t="s">
        <v>164</v>
      </c>
      <c r="R9" s="91"/>
      <c r="S9" s="138"/>
      <c r="T9" s="138"/>
      <c r="U9" s="138" t="s">
        <v>164</v>
      </c>
      <c r="V9" s="90">
        <v>0.8</v>
      </c>
      <c r="W9" s="84" t="s">
        <v>102</v>
      </c>
      <c r="X9" s="91" t="s">
        <v>103</v>
      </c>
      <c r="Y9" s="77"/>
      <c r="Z9" s="77"/>
      <c r="AA9" s="77"/>
      <c r="AB9" s="77"/>
      <c r="AC9" s="77"/>
      <c r="AD9" s="77"/>
    </row>
    <row r="10" spans="1:30" x14ac:dyDescent="0.25">
      <c r="A10" s="60"/>
      <c r="B10" s="83" t="s">
        <v>104</v>
      </c>
      <c r="C10" s="84" t="s">
        <v>105</v>
      </c>
      <c r="D10" s="85" t="s">
        <v>77</v>
      </c>
      <c r="E10" s="92" t="s">
        <v>35</v>
      </c>
      <c r="F10" s="22"/>
      <c r="G10" s="87">
        <v>1</v>
      </c>
      <c r="H10" s="87"/>
      <c r="I10" s="88"/>
      <c r="J10" s="89" t="s">
        <v>83</v>
      </c>
      <c r="K10" s="89">
        <v>3</v>
      </c>
      <c r="L10" s="89"/>
      <c r="M10" s="87">
        <v>1</v>
      </c>
      <c r="N10" s="87"/>
      <c r="O10" s="87">
        <v>2</v>
      </c>
      <c r="P10" s="87"/>
      <c r="Q10" s="91" t="s">
        <v>165</v>
      </c>
      <c r="R10" s="91" t="s">
        <v>150</v>
      </c>
      <c r="S10" s="138" t="s">
        <v>157</v>
      </c>
      <c r="T10" s="138" t="s">
        <v>166</v>
      </c>
      <c r="U10" s="138" t="s">
        <v>156</v>
      </c>
      <c r="V10" s="90">
        <v>0.46200000000000002</v>
      </c>
      <c r="W10" s="84" t="s">
        <v>89</v>
      </c>
      <c r="X10" s="91" t="s">
        <v>106</v>
      </c>
      <c r="Y10" s="77"/>
      <c r="Z10" s="77"/>
      <c r="AA10" s="77"/>
      <c r="AB10" s="77"/>
      <c r="AC10" s="77"/>
      <c r="AD10" s="77"/>
    </row>
    <row r="11" spans="1:30" x14ac:dyDescent="0.25">
      <c r="A11" s="60"/>
      <c r="B11" s="83" t="s">
        <v>107</v>
      </c>
      <c r="C11" s="84" t="s">
        <v>108</v>
      </c>
      <c r="D11" s="85" t="s">
        <v>77</v>
      </c>
      <c r="E11" s="92" t="s">
        <v>35</v>
      </c>
      <c r="F11" s="36"/>
      <c r="G11" s="87">
        <v>1</v>
      </c>
      <c r="H11" s="87"/>
      <c r="I11" s="88"/>
      <c r="J11" s="89" t="s">
        <v>83</v>
      </c>
      <c r="K11" s="89">
        <v>4</v>
      </c>
      <c r="L11" s="89" t="s">
        <v>101</v>
      </c>
      <c r="M11" s="87">
        <v>1</v>
      </c>
      <c r="N11" s="87"/>
      <c r="O11" s="87">
        <v>2</v>
      </c>
      <c r="P11" s="87"/>
      <c r="Q11" s="91" t="s">
        <v>162</v>
      </c>
      <c r="R11" s="91"/>
      <c r="S11" s="138" t="s">
        <v>150</v>
      </c>
      <c r="T11" s="138" t="s">
        <v>167</v>
      </c>
      <c r="U11" s="138" t="s">
        <v>153</v>
      </c>
      <c r="V11" s="90">
        <v>0.5</v>
      </c>
      <c r="W11" s="84" t="s">
        <v>85</v>
      </c>
      <c r="X11" s="91" t="s">
        <v>109</v>
      </c>
      <c r="Y11" s="77"/>
      <c r="Z11" s="77"/>
      <c r="AA11" s="77"/>
      <c r="AB11" s="77"/>
      <c r="AC11" s="77"/>
      <c r="AD11" s="77"/>
    </row>
    <row r="12" spans="1:30" x14ac:dyDescent="0.25">
      <c r="A12" s="60"/>
      <c r="B12" s="83" t="s">
        <v>131</v>
      </c>
      <c r="C12" s="84" t="s">
        <v>132</v>
      </c>
      <c r="D12" s="85" t="s">
        <v>77</v>
      </c>
      <c r="E12" s="92" t="s">
        <v>35</v>
      </c>
      <c r="F12" s="22"/>
      <c r="G12" s="87">
        <v>1</v>
      </c>
      <c r="H12" s="87"/>
      <c r="I12" s="88"/>
      <c r="J12" s="89" t="s">
        <v>83</v>
      </c>
      <c r="K12" s="89">
        <v>4</v>
      </c>
      <c r="L12" s="89"/>
      <c r="M12" s="87">
        <v>1</v>
      </c>
      <c r="N12" s="87"/>
      <c r="O12" s="87"/>
      <c r="P12" s="87"/>
      <c r="Q12" s="91" t="s">
        <v>162</v>
      </c>
      <c r="R12" s="91"/>
      <c r="S12" s="138" t="s">
        <v>156</v>
      </c>
      <c r="T12" s="138" t="s">
        <v>167</v>
      </c>
      <c r="U12" s="138"/>
      <c r="V12" s="90">
        <v>0.5</v>
      </c>
      <c r="W12" s="84" t="s">
        <v>133</v>
      </c>
      <c r="X12" s="91" t="s">
        <v>134</v>
      </c>
      <c r="Y12" s="77"/>
      <c r="Z12" s="77"/>
      <c r="AA12" s="77"/>
      <c r="AB12" s="77"/>
      <c r="AC12" s="77"/>
      <c r="AD12" s="77"/>
    </row>
    <row r="13" spans="1:30" x14ac:dyDescent="0.25">
      <c r="A13" s="60"/>
      <c r="B13" s="83" t="s">
        <v>135</v>
      </c>
      <c r="C13" s="84" t="s">
        <v>136</v>
      </c>
      <c r="D13" s="85" t="s">
        <v>77</v>
      </c>
      <c r="E13" s="92" t="s">
        <v>35</v>
      </c>
      <c r="F13" s="22"/>
      <c r="G13" s="87">
        <v>1</v>
      </c>
      <c r="H13" s="87"/>
      <c r="I13" s="88"/>
      <c r="J13" s="89" t="s">
        <v>138</v>
      </c>
      <c r="K13" s="89">
        <v>5</v>
      </c>
      <c r="L13" s="89" t="s">
        <v>84</v>
      </c>
      <c r="M13" s="87">
        <v>1</v>
      </c>
      <c r="N13" s="87"/>
      <c r="O13" s="87">
        <v>1</v>
      </c>
      <c r="P13" s="87"/>
      <c r="Q13" s="91" t="s">
        <v>168</v>
      </c>
      <c r="R13" s="91" t="s">
        <v>152</v>
      </c>
      <c r="S13" s="138"/>
      <c r="T13" s="138" t="s">
        <v>154</v>
      </c>
      <c r="U13" s="138" t="s">
        <v>154</v>
      </c>
      <c r="V13" s="90">
        <v>0.6</v>
      </c>
      <c r="W13" s="84" t="s">
        <v>133</v>
      </c>
      <c r="X13" s="91" t="s">
        <v>137</v>
      </c>
      <c r="Y13" s="77"/>
      <c r="Z13" s="77"/>
      <c r="AA13" s="77"/>
      <c r="AB13" s="77"/>
      <c r="AC13" s="77"/>
      <c r="AD13" s="77"/>
    </row>
    <row r="14" spans="1:30" x14ac:dyDescent="0.25">
      <c r="A14" s="60"/>
      <c r="B14" s="173" t="s">
        <v>242</v>
      </c>
      <c r="C14" s="174" t="s">
        <v>453</v>
      </c>
      <c r="D14" s="175" t="s">
        <v>243</v>
      </c>
      <c r="E14" s="176" t="s">
        <v>212</v>
      </c>
      <c r="F14" s="36"/>
      <c r="G14" s="177">
        <v>1</v>
      </c>
      <c r="H14" s="178"/>
      <c r="I14" s="178"/>
      <c r="J14" s="178"/>
      <c r="K14" s="179" t="s">
        <v>78</v>
      </c>
      <c r="L14" s="179"/>
      <c r="M14" s="179">
        <v>1</v>
      </c>
      <c r="N14" s="179"/>
      <c r="O14" s="177">
        <v>3</v>
      </c>
      <c r="P14" s="178">
        <v>1</v>
      </c>
      <c r="Q14" s="180" t="s">
        <v>244</v>
      </c>
      <c r="R14" s="181"/>
      <c r="S14" s="181"/>
      <c r="T14" s="181" t="s">
        <v>167</v>
      </c>
      <c r="U14" s="181" t="s">
        <v>159</v>
      </c>
      <c r="V14" s="182">
        <v>0.4</v>
      </c>
      <c r="W14" s="174" t="s">
        <v>245</v>
      </c>
      <c r="X14" s="180" t="s">
        <v>246</v>
      </c>
      <c r="Y14" s="77"/>
      <c r="Z14" s="77"/>
      <c r="AA14" s="77"/>
      <c r="AB14" s="77"/>
      <c r="AC14" s="77"/>
      <c r="AD14" s="77"/>
    </row>
    <row r="15" spans="1:30" x14ac:dyDescent="0.25">
      <c r="A15" s="65"/>
      <c r="B15" s="21" t="s">
        <v>7</v>
      </c>
      <c r="C15" s="16"/>
      <c r="D15" s="15"/>
      <c r="E15" s="93"/>
      <c r="F15" s="94"/>
      <c r="G15" s="17">
        <f>SUM(G4:G14)</f>
        <v>7</v>
      </c>
      <c r="H15" s="17"/>
      <c r="I15" s="17">
        <f>SUM(I4:I14)</f>
        <v>4</v>
      </c>
      <c r="J15" s="16"/>
      <c r="K15" s="16"/>
      <c r="L15" s="16"/>
      <c r="M15" s="17">
        <f t="shared" ref="M15:P15" si="0">SUM(M4:M14)</f>
        <v>11</v>
      </c>
      <c r="N15" s="17">
        <f t="shared" si="0"/>
        <v>1</v>
      </c>
      <c r="O15" s="17">
        <f t="shared" si="0"/>
        <v>15</v>
      </c>
      <c r="P15" s="17">
        <f t="shared" si="0"/>
        <v>4</v>
      </c>
      <c r="Q15" s="96" t="s">
        <v>247</v>
      </c>
      <c r="R15" s="96" t="s">
        <v>169</v>
      </c>
      <c r="S15" s="96" t="s">
        <v>170</v>
      </c>
      <c r="T15" s="96" t="s">
        <v>248</v>
      </c>
      <c r="U15" s="96" t="s">
        <v>249</v>
      </c>
      <c r="V15" s="33">
        <v>0.48799999999999999</v>
      </c>
      <c r="W15" s="95"/>
      <c r="X15" s="96"/>
      <c r="Y15" s="77"/>
      <c r="Z15" s="77"/>
      <c r="AA15" s="77"/>
      <c r="AB15" s="77"/>
      <c r="AC15" s="77"/>
      <c r="AD15" s="77"/>
    </row>
    <row r="16" spans="1:30" x14ac:dyDescent="0.25">
      <c r="A16" s="65"/>
      <c r="B16" s="127" t="s">
        <v>110</v>
      </c>
      <c r="C16" s="128" t="s">
        <v>146</v>
      </c>
      <c r="D16" s="67"/>
      <c r="E16" s="66"/>
      <c r="F16" s="67"/>
      <c r="G16" s="129"/>
      <c r="H16" s="66"/>
      <c r="I16" s="68"/>
      <c r="J16" s="66"/>
      <c r="K16" s="66"/>
      <c r="L16" s="66"/>
      <c r="M16" s="66"/>
      <c r="N16" s="66"/>
      <c r="O16" s="66"/>
      <c r="P16" s="66"/>
      <c r="Q16" s="139"/>
      <c r="R16" s="140"/>
      <c r="S16" s="139"/>
      <c r="T16" s="139"/>
      <c r="U16" s="139"/>
      <c r="V16" s="66"/>
      <c r="W16" s="128"/>
      <c r="X16" s="130"/>
      <c r="Y16" s="77"/>
      <c r="Z16" s="77"/>
      <c r="AA16" s="77"/>
      <c r="AB16" s="77"/>
      <c r="AC16" s="77"/>
      <c r="AD16" s="77"/>
    </row>
    <row r="17" spans="1:30" x14ac:dyDescent="0.25">
      <c r="A17" s="36"/>
      <c r="B17" s="125"/>
      <c r="C17" s="98"/>
      <c r="D17" s="98"/>
      <c r="E17" s="98"/>
      <c r="F17" s="98"/>
      <c r="G17" s="98"/>
      <c r="H17" s="98"/>
      <c r="I17" s="98"/>
      <c r="J17" s="100"/>
      <c r="K17" s="98"/>
      <c r="L17" s="98"/>
      <c r="M17" s="98"/>
      <c r="N17" s="98"/>
      <c r="O17" s="98"/>
      <c r="P17" s="98"/>
      <c r="Q17" s="99"/>
      <c r="R17" s="99"/>
      <c r="S17" s="99"/>
      <c r="T17" s="99"/>
      <c r="U17" s="99"/>
      <c r="V17" s="98"/>
      <c r="W17" s="98"/>
      <c r="X17" s="126"/>
      <c r="Y17" s="36"/>
      <c r="Z17" s="77"/>
      <c r="AA17" s="77"/>
      <c r="AB17" s="77"/>
      <c r="AC17" s="77"/>
      <c r="AD17" s="77"/>
    </row>
    <row r="18" spans="1:30" x14ac:dyDescent="0.25">
      <c r="A18" s="60"/>
      <c r="B18" s="21" t="s">
        <v>111</v>
      </c>
      <c r="C18" s="21" t="s">
        <v>63</v>
      </c>
      <c r="D18" s="15" t="s">
        <v>64</v>
      </c>
      <c r="E18" s="20" t="s">
        <v>1</v>
      </c>
      <c r="F18" s="22"/>
      <c r="G18" s="17" t="s">
        <v>65</v>
      </c>
      <c r="H18" s="14" t="s">
        <v>66</v>
      </c>
      <c r="I18" s="14" t="s">
        <v>31</v>
      </c>
      <c r="J18" s="16" t="s">
        <v>67</v>
      </c>
      <c r="K18" s="16" t="s">
        <v>68</v>
      </c>
      <c r="L18" s="16" t="s">
        <v>69</v>
      </c>
      <c r="M18" s="17" t="s">
        <v>70</v>
      </c>
      <c r="N18" s="17" t="s">
        <v>30</v>
      </c>
      <c r="O18" s="14" t="s">
        <v>71</v>
      </c>
      <c r="P18" s="17" t="s">
        <v>66</v>
      </c>
      <c r="Q18" s="96" t="s">
        <v>17</v>
      </c>
      <c r="R18" s="96">
        <v>1</v>
      </c>
      <c r="S18" s="96">
        <v>2</v>
      </c>
      <c r="T18" s="96">
        <v>3</v>
      </c>
      <c r="U18" s="96" t="s">
        <v>72</v>
      </c>
      <c r="V18" s="16" t="s">
        <v>22</v>
      </c>
      <c r="W18" s="15" t="s">
        <v>73</v>
      </c>
      <c r="X18" s="15" t="s">
        <v>74</v>
      </c>
      <c r="Y18" s="77"/>
      <c r="Z18" s="77"/>
      <c r="AA18" s="77"/>
      <c r="AB18" s="77"/>
      <c r="AC18" s="77"/>
      <c r="AD18" s="77"/>
    </row>
    <row r="19" spans="1:30" x14ac:dyDescent="0.25">
      <c r="A19" s="60"/>
      <c r="B19" s="102" t="s">
        <v>112</v>
      </c>
      <c r="C19" s="103" t="s">
        <v>113</v>
      </c>
      <c r="D19" s="104" t="s">
        <v>77</v>
      </c>
      <c r="E19" s="105" t="s">
        <v>35</v>
      </c>
      <c r="F19" s="22"/>
      <c r="G19" s="106"/>
      <c r="H19" s="107">
        <v>1</v>
      </c>
      <c r="I19" s="107"/>
      <c r="J19" s="108"/>
      <c r="K19" s="108"/>
      <c r="L19" s="89"/>
      <c r="M19" s="108">
        <v>1</v>
      </c>
      <c r="N19" s="106"/>
      <c r="O19" s="107"/>
      <c r="P19" s="107"/>
      <c r="Q19" s="141"/>
      <c r="R19" s="141"/>
      <c r="S19" s="141"/>
      <c r="T19" s="141"/>
      <c r="U19" s="141"/>
      <c r="V19" s="109"/>
      <c r="W19" s="103" t="s">
        <v>114</v>
      </c>
      <c r="X19" s="110" t="s">
        <v>115</v>
      </c>
      <c r="Y19" s="77"/>
      <c r="Z19" s="77"/>
      <c r="AA19" s="77"/>
      <c r="AB19" s="77"/>
      <c r="AC19" s="77"/>
      <c r="AD19" s="77"/>
    </row>
    <row r="20" spans="1:30" x14ac:dyDescent="0.25">
      <c r="A20" s="36"/>
      <c r="B20" s="125"/>
      <c r="C20" s="98"/>
      <c r="D20" s="98"/>
      <c r="E20" s="98"/>
      <c r="F20" s="98"/>
      <c r="G20" s="98"/>
      <c r="H20" s="98"/>
      <c r="I20" s="98"/>
      <c r="J20" s="100"/>
      <c r="K20" s="98"/>
      <c r="L20" s="98"/>
      <c r="M20" s="98"/>
      <c r="N20" s="98"/>
      <c r="O20" s="98"/>
      <c r="P20" s="98"/>
      <c r="Q20" s="99"/>
      <c r="R20" s="99"/>
      <c r="S20" s="99"/>
      <c r="T20" s="99"/>
      <c r="U20" s="99"/>
      <c r="V20" s="98"/>
      <c r="W20" s="98"/>
      <c r="X20" s="126"/>
      <c r="Y20" s="36"/>
      <c r="Z20" s="77"/>
      <c r="AA20" s="77"/>
      <c r="AB20" s="77"/>
      <c r="AC20" s="77"/>
      <c r="AD20" s="77"/>
    </row>
    <row r="21" spans="1:30" x14ac:dyDescent="0.25">
      <c r="A21" s="60"/>
      <c r="B21" s="21" t="s">
        <v>116</v>
      </c>
      <c r="C21" s="21" t="s">
        <v>63</v>
      </c>
      <c r="D21" s="15" t="s">
        <v>64</v>
      </c>
      <c r="E21" s="20" t="s">
        <v>1</v>
      </c>
      <c r="F21" s="22"/>
      <c r="G21" s="17" t="s">
        <v>65</v>
      </c>
      <c r="H21" s="14" t="s">
        <v>66</v>
      </c>
      <c r="I21" s="14" t="s">
        <v>31</v>
      </c>
      <c r="J21" s="16" t="s">
        <v>67</v>
      </c>
      <c r="K21" s="16" t="s">
        <v>68</v>
      </c>
      <c r="L21" s="16" t="s">
        <v>69</v>
      </c>
      <c r="M21" s="17" t="s">
        <v>70</v>
      </c>
      <c r="N21" s="17" t="s">
        <v>30</v>
      </c>
      <c r="O21" s="14" t="s">
        <v>71</v>
      </c>
      <c r="P21" s="17" t="s">
        <v>66</v>
      </c>
      <c r="Q21" s="96" t="s">
        <v>17</v>
      </c>
      <c r="R21" s="96">
        <v>1</v>
      </c>
      <c r="S21" s="96">
        <v>2</v>
      </c>
      <c r="T21" s="96">
        <v>3</v>
      </c>
      <c r="U21" s="96" t="s">
        <v>72</v>
      </c>
      <c r="V21" s="16" t="s">
        <v>22</v>
      </c>
      <c r="W21" s="15" t="s">
        <v>73</v>
      </c>
      <c r="X21" s="15" t="s">
        <v>74</v>
      </c>
      <c r="Y21" s="77"/>
      <c r="Z21" s="77"/>
      <c r="AA21" s="77"/>
      <c r="AB21" s="77"/>
      <c r="AC21" s="77"/>
      <c r="AD21" s="77"/>
    </row>
    <row r="22" spans="1:30" x14ac:dyDescent="0.25">
      <c r="A22" s="60"/>
      <c r="B22" s="102" t="s">
        <v>117</v>
      </c>
      <c r="C22" s="103" t="s">
        <v>118</v>
      </c>
      <c r="D22" s="104" t="s">
        <v>77</v>
      </c>
      <c r="E22" s="105" t="s">
        <v>35</v>
      </c>
      <c r="F22" s="22"/>
      <c r="G22" s="106"/>
      <c r="H22" s="107"/>
      <c r="I22" s="107">
        <v>1</v>
      </c>
      <c r="J22" s="108"/>
      <c r="K22" s="108"/>
      <c r="L22" s="89" t="s">
        <v>84</v>
      </c>
      <c r="M22" s="108">
        <v>1</v>
      </c>
      <c r="N22" s="106"/>
      <c r="O22" s="107">
        <v>1</v>
      </c>
      <c r="P22" s="107"/>
      <c r="Q22" s="141"/>
      <c r="R22" s="141"/>
      <c r="S22" s="141"/>
      <c r="T22" s="141"/>
      <c r="U22" s="141"/>
      <c r="V22" s="109"/>
      <c r="W22" s="103" t="s">
        <v>119</v>
      </c>
      <c r="X22" s="110" t="s">
        <v>120</v>
      </c>
      <c r="Y22" s="77"/>
      <c r="Z22" s="77"/>
      <c r="AA22" s="77"/>
      <c r="AB22" s="77"/>
      <c r="AC22" s="77"/>
      <c r="AD22" s="77"/>
    </row>
    <row r="23" spans="1:30" x14ac:dyDescent="0.25">
      <c r="A23" s="36"/>
      <c r="B23" s="125"/>
      <c r="C23" s="98"/>
      <c r="D23" s="98"/>
      <c r="E23" s="98"/>
      <c r="F23" s="98"/>
      <c r="G23" s="98"/>
      <c r="H23" s="98"/>
      <c r="I23" s="98"/>
      <c r="J23" s="100"/>
      <c r="K23" s="98"/>
      <c r="L23" s="98"/>
      <c r="M23" s="98"/>
      <c r="N23" s="98"/>
      <c r="O23" s="98"/>
      <c r="P23" s="98"/>
      <c r="Q23" s="99"/>
      <c r="R23" s="99"/>
      <c r="S23" s="99"/>
      <c r="T23" s="99"/>
      <c r="U23" s="99"/>
      <c r="V23" s="98"/>
      <c r="W23" s="98"/>
      <c r="X23" s="126"/>
      <c r="Y23" s="36"/>
      <c r="Z23" s="77"/>
      <c r="AA23" s="77"/>
      <c r="AB23" s="77"/>
      <c r="AC23" s="77"/>
      <c r="AD23" s="77"/>
    </row>
    <row r="24" spans="1:30" x14ac:dyDescent="0.25">
      <c r="A24" s="60"/>
      <c r="B24" s="21" t="s">
        <v>121</v>
      </c>
      <c r="C24" s="21" t="s">
        <v>63</v>
      </c>
      <c r="D24" s="15" t="s">
        <v>64</v>
      </c>
      <c r="E24" s="20" t="s">
        <v>1</v>
      </c>
      <c r="F24" s="22"/>
      <c r="G24" s="17" t="s">
        <v>65</v>
      </c>
      <c r="H24" s="14" t="s">
        <v>66</v>
      </c>
      <c r="I24" s="14" t="s">
        <v>31</v>
      </c>
      <c r="J24" s="16" t="s">
        <v>67</v>
      </c>
      <c r="K24" s="16" t="s">
        <v>68</v>
      </c>
      <c r="L24" s="16" t="s">
        <v>69</v>
      </c>
      <c r="M24" s="17" t="s">
        <v>70</v>
      </c>
      <c r="N24" s="17" t="s">
        <v>30</v>
      </c>
      <c r="O24" s="14" t="s">
        <v>71</v>
      </c>
      <c r="P24" s="17" t="s">
        <v>66</v>
      </c>
      <c r="Q24" s="96" t="s">
        <v>17</v>
      </c>
      <c r="R24" s="96">
        <v>1</v>
      </c>
      <c r="S24" s="96">
        <v>2</v>
      </c>
      <c r="T24" s="96">
        <v>3</v>
      </c>
      <c r="U24" s="96" t="s">
        <v>72</v>
      </c>
      <c r="V24" s="16" t="s">
        <v>22</v>
      </c>
      <c r="W24" s="15" t="s">
        <v>73</v>
      </c>
      <c r="X24" s="15" t="s">
        <v>74</v>
      </c>
      <c r="Y24" s="77"/>
      <c r="Z24" s="77"/>
      <c r="AA24" s="77"/>
      <c r="AB24" s="77"/>
      <c r="AC24" s="77"/>
      <c r="AD24" s="77"/>
    </row>
    <row r="25" spans="1:30" x14ac:dyDescent="0.25">
      <c r="A25" s="60"/>
      <c r="B25" s="83" t="s">
        <v>122</v>
      </c>
      <c r="C25" s="84" t="s">
        <v>123</v>
      </c>
      <c r="D25" s="85" t="s">
        <v>77</v>
      </c>
      <c r="E25" s="133" t="s">
        <v>35</v>
      </c>
      <c r="F25" s="22"/>
      <c r="G25" s="87"/>
      <c r="H25" s="88"/>
      <c r="I25" s="87">
        <v>1</v>
      </c>
      <c r="J25" s="89" t="s">
        <v>83</v>
      </c>
      <c r="K25" s="89">
        <v>4</v>
      </c>
      <c r="L25" s="89"/>
      <c r="M25" s="89">
        <v>1</v>
      </c>
      <c r="N25" s="87"/>
      <c r="O25" s="88"/>
      <c r="P25" s="88"/>
      <c r="Q25" s="138" t="s">
        <v>168</v>
      </c>
      <c r="R25" s="138" t="s">
        <v>152</v>
      </c>
      <c r="S25" s="138"/>
      <c r="T25" s="138" t="s">
        <v>153</v>
      </c>
      <c r="U25" s="138" t="s">
        <v>160</v>
      </c>
      <c r="V25" s="90">
        <v>0.6</v>
      </c>
      <c r="W25" s="84" t="s">
        <v>124</v>
      </c>
      <c r="X25" s="91" t="s">
        <v>125</v>
      </c>
      <c r="Y25" s="77"/>
      <c r="Z25" s="77"/>
      <c r="AA25" s="77"/>
      <c r="AB25" s="77"/>
      <c r="AC25" s="77"/>
      <c r="AD25" s="77"/>
    </row>
    <row r="26" spans="1:30" x14ac:dyDescent="0.25">
      <c r="A26" s="60"/>
      <c r="B26" s="102" t="s">
        <v>126</v>
      </c>
      <c r="C26" s="103" t="s">
        <v>127</v>
      </c>
      <c r="D26" s="104" t="s">
        <v>77</v>
      </c>
      <c r="E26" s="105" t="s">
        <v>35</v>
      </c>
      <c r="F26" s="124"/>
      <c r="G26" s="106">
        <v>1</v>
      </c>
      <c r="H26" s="107"/>
      <c r="I26" s="107"/>
      <c r="J26" s="108" t="s">
        <v>128</v>
      </c>
      <c r="K26" s="108">
        <v>4</v>
      </c>
      <c r="L26" s="89" t="s">
        <v>84</v>
      </c>
      <c r="M26" s="108">
        <v>1</v>
      </c>
      <c r="N26" s="106"/>
      <c r="O26" s="107"/>
      <c r="P26" s="107">
        <v>2</v>
      </c>
      <c r="Q26" s="141" t="s">
        <v>161</v>
      </c>
      <c r="R26" s="141"/>
      <c r="S26" s="141" t="s">
        <v>172</v>
      </c>
      <c r="T26" s="141" t="s">
        <v>166</v>
      </c>
      <c r="U26" s="141" t="s">
        <v>160</v>
      </c>
      <c r="V26" s="109">
        <v>0.6</v>
      </c>
      <c r="W26" s="103" t="s">
        <v>129</v>
      </c>
      <c r="X26" s="110" t="s">
        <v>130</v>
      </c>
      <c r="Y26" s="77"/>
      <c r="Z26" s="77"/>
      <c r="AA26" s="77"/>
      <c r="AB26" s="77"/>
      <c r="AC26" s="77"/>
      <c r="AD26" s="77"/>
    </row>
    <row r="27" spans="1:30" x14ac:dyDescent="0.25">
      <c r="A27" s="65"/>
      <c r="B27" s="21" t="s">
        <v>7</v>
      </c>
      <c r="C27" s="16"/>
      <c r="D27" s="15"/>
      <c r="E27" s="93"/>
      <c r="F27" s="94"/>
      <c r="G27" s="17">
        <f>SUM(G17:G26)</f>
        <v>1</v>
      </c>
      <c r="H27" s="17">
        <f>SUM(H17:H26)</f>
        <v>1</v>
      </c>
      <c r="I27" s="17">
        <f>SUM(I17:I26)</f>
        <v>2</v>
      </c>
      <c r="J27" s="16"/>
      <c r="K27" s="16"/>
      <c r="L27" s="16"/>
      <c r="M27" s="17">
        <f t="shared" ref="M27:P27" si="1">SUM(M17:M26)</f>
        <v>4</v>
      </c>
      <c r="N27" s="17"/>
      <c r="O27" s="17">
        <f t="shared" si="1"/>
        <v>1</v>
      </c>
      <c r="P27" s="17">
        <f t="shared" si="1"/>
        <v>2</v>
      </c>
      <c r="Q27" s="96" t="s">
        <v>171</v>
      </c>
      <c r="R27" s="96" t="s">
        <v>152</v>
      </c>
      <c r="S27" s="96" t="s">
        <v>172</v>
      </c>
      <c r="T27" s="96" t="s">
        <v>169</v>
      </c>
      <c r="U27" s="96" t="s">
        <v>158</v>
      </c>
      <c r="V27" s="33">
        <v>0.5</v>
      </c>
      <c r="W27" s="95"/>
      <c r="X27" s="96"/>
      <c r="Y27" s="77"/>
      <c r="Z27" s="77"/>
      <c r="AA27" s="77"/>
      <c r="AB27" s="77"/>
      <c r="AC27" s="77"/>
      <c r="AD27" s="77"/>
    </row>
    <row r="28" spans="1:30" x14ac:dyDescent="0.25">
      <c r="A28" s="65"/>
      <c r="B28" s="97"/>
      <c r="C28" s="98"/>
      <c r="D28" s="98"/>
      <c r="E28" s="98"/>
      <c r="F28" s="98"/>
      <c r="G28" s="99"/>
      <c r="H28" s="100"/>
      <c r="I28" s="101"/>
      <c r="J28" s="100"/>
      <c r="K28" s="101"/>
      <c r="L28" s="100"/>
      <c r="M28" s="101"/>
      <c r="N28" s="101"/>
      <c r="O28" s="101"/>
      <c r="P28" s="101"/>
      <c r="Q28" s="142"/>
      <c r="R28" s="142"/>
      <c r="S28" s="142"/>
      <c r="T28" s="142"/>
      <c r="U28" s="142"/>
      <c r="V28" s="101"/>
      <c r="W28" s="101"/>
      <c r="X28" s="72"/>
      <c r="Y28" s="77"/>
      <c r="Z28" s="77"/>
      <c r="AA28" s="77"/>
      <c r="AB28" s="77"/>
      <c r="AC28" s="77"/>
      <c r="AD28" s="77"/>
    </row>
    <row r="29" spans="1:30" ht="18.75" x14ac:dyDescent="0.25">
      <c r="A29" s="65"/>
      <c r="B29" s="132" t="s">
        <v>139</v>
      </c>
      <c r="C29" s="71"/>
      <c r="D29" s="76"/>
      <c r="E29" s="76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135"/>
      <c r="R29" s="135"/>
      <c r="S29" s="135"/>
      <c r="T29" s="135"/>
      <c r="U29" s="135"/>
      <c r="V29" s="71"/>
      <c r="W29" s="76"/>
      <c r="X29" s="63"/>
      <c r="Y29" s="77"/>
      <c r="Z29" s="77"/>
      <c r="AA29" s="77"/>
      <c r="AB29" s="77"/>
      <c r="AC29" s="77"/>
      <c r="AD29" s="77"/>
    </row>
    <row r="30" spans="1:30" x14ac:dyDescent="0.25">
      <c r="A30" s="65"/>
      <c r="B30" s="80" t="s">
        <v>62</v>
      </c>
      <c r="C30" s="21" t="s">
        <v>140</v>
      </c>
      <c r="D30" s="81" t="s">
        <v>64</v>
      </c>
      <c r="E30" s="82" t="s">
        <v>1</v>
      </c>
      <c r="F30" s="36"/>
      <c r="G30" s="73" t="s">
        <v>65</v>
      </c>
      <c r="H30" s="74" t="s">
        <v>66</v>
      </c>
      <c r="I30" s="74" t="s">
        <v>31</v>
      </c>
      <c r="J30" s="16" t="s">
        <v>67</v>
      </c>
      <c r="K30" s="75" t="s">
        <v>68</v>
      </c>
      <c r="L30" s="75" t="s">
        <v>69</v>
      </c>
      <c r="M30" s="73" t="s">
        <v>70</v>
      </c>
      <c r="N30" s="73" t="s">
        <v>30</v>
      </c>
      <c r="O30" s="74" t="s">
        <v>71</v>
      </c>
      <c r="P30" s="73" t="s">
        <v>66</v>
      </c>
      <c r="Q30" s="137" t="s">
        <v>17</v>
      </c>
      <c r="R30" s="137">
        <v>1</v>
      </c>
      <c r="S30" s="137">
        <v>2</v>
      </c>
      <c r="T30" s="137">
        <v>3</v>
      </c>
      <c r="U30" s="137" t="s">
        <v>72</v>
      </c>
      <c r="V30" s="16" t="s">
        <v>141</v>
      </c>
      <c r="W30" s="15" t="s">
        <v>73</v>
      </c>
      <c r="X30" s="15" t="s">
        <v>74</v>
      </c>
      <c r="Y30" s="77"/>
      <c r="Z30" s="77"/>
      <c r="AA30" s="77"/>
      <c r="AB30" s="77"/>
      <c r="AC30" s="77"/>
      <c r="AD30" s="77"/>
    </row>
    <row r="31" spans="1:30" x14ac:dyDescent="0.25">
      <c r="A31" s="65"/>
      <c r="B31" s="119" t="s">
        <v>142</v>
      </c>
      <c r="C31" s="123" t="s">
        <v>143</v>
      </c>
      <c r="D31" s="119" t="s">
        <v>144</v>
      </c>
      <c r="E31" s="119" t="s">
        <v>35</v>
      </c>
      <c r="F31" s="36"/>
      <c r="G31" s="120"/>
      <c r="H31" s="28"/>
      <c r="I31" s="120">
        <v>1</v>
      </c>
      <c r="J31" s="28"/>
      <c r="K31" s="28" t="s">
        <v>78</v>
      </c>
      <c r="L31" s="28"/>
      <c r="M31" s="120">
        <v>1</v>
      </c>
      <c r="N31" s="121"/>
      <c r="O31" s="28">
        <v>1</v>
      </c>
      <c r="P31" s="28"/>
      <c r="Q31" s="143" t="s">
        <v>162</v>
      </c>
      <c r="R31" s="143"/>
      <c r="S31" s="143"/>
      <c r="T31" s="143" t="s">
        <v>156</v>
      </c>
      <c r="U31" s="143" t="s">
        <v>167</v>
      </c>
      <c r="V31" s="122">
        <v>0.5</v>
      </c>
      <c r="W31" s="119" t="s">
        <v>145</v>
      </c>
      <c r="X31" s="28">
        <v>1743</v>
      </c>
      <c r="Y31" s="77"/>
      <c r="Z31" s="77"/>
      <c r="AA31" s="77"/>
      <c r="AB31" s="77"/>
      <c r="AC31" s="77"/>
      <c r="AD31" s="77"/>
    </row>
    <row r="32" spans="1:30" x14ac:dyDescent="0.25">
      <c r="A32" s="65"/>
      <c r="B32" s="127" t="s">
        <v>110</v>
      </c>
      <c r="C32" s="128" t="s">
        <v>147</v>
      </c>
      <c r="D32" s="67"/>
      <c r="E32" s="66"/>
      <c r="F32" s="67"/>
      <c r="G32" s="129"/>
      <c r="H32" s="66"/>
      <c r="I32" s="68"/>
      <c r="J32" s="66"/>
      <c r="K32" s="66"/>
      <c r="L32" s="66"/>
      <c r="M32" s="66"/>
      <c r="N32" s="66"/>
      <c r="O32" s="66"/>
      <c r="P32" s="66"/>
      <c r="Q32" s="139"/>
      <c r="R32" s="140"/>
      <c r="S32" s="139"/>
      <c r="T32" s="139"/>
      <c r="U32" s="139"/>
      <c r="V32" s="66"/>
      <c r="W32" s="128"/>
      <c r="X32" s="130"/>
      <c r="Y32" s="77"/>
      <c r="Z32" s="77"/>
      <c r="AA32" s="77"/>
      <c r="AB32" s="77"/>
      <c r="AC32" s="77"/>
      <c r="AD32" s="77"/>
    </row>
    <row r="33" spans="1:30" x14ac:dyDescent="0.25">
      <c r="A33" s="36"/>
      <c r="B33" s="125"/>
      <c r="C33" s="98"/>
      <c r="D33" s="98"/>
      <c r="E33" s="98"/>
      <c r="F33" s="98"/>
      <c r="G33" s="98"/>
      <c r="H33" s="98"/>
      <c r="I33" s="98"/>
      <c r="J33" s="100"/>
      <c r="K33" s="98"/>
      <c r="L33" s="98"/>
      <c r="M33" s="98"/>
      <c r="N33" s="98"/>
      <c r="O33" s="98"/>
      <c r="P33" s="98"/>
      <c r="Q33" s="99"/>
      <c r="R33" s="99"/>
      <c r="S33" s="99"/>
      <c r="T33" s="99"/>
      <c r="U33" s="99"/>
      <c r="V33" s="98"/>
      <c r="W33" s="98"/>
      <c r="X33" s="126"/>
      <c r="Y33" s="36"/>
      <c r="Z33" s="77"/>
      <c r="AA33" s="77"/>
      <c r="AB33" s="77"/>
      <c r="AC33" s="77"/>
      <c r="AD33" s="77"/>
    </row>
    <row r="34" spans="1:30" x14ac:dyDescent="0.25">
      <c r="A34" s="65"/>
      <c r="B34" s="111"/>
      <c r="C34" s="36"/>
      <c r="D34" s="112"/>
      <c r="E34" s="113"/>
      <c r="G34" s="36"/>
      <c r="H34" s="36"/>
      <c r="I34" s="36"/>
      <c r="J34" s="22"/>
      <c r="K34" s="22"/>
      <c r="L34" s="22"/>
      <c r="M34" s="36"/>
      <c r="N34" s="36"/>
      <c r="O34" s="36"/>
      <c r="P34" s="36"/>
      <c r="Q34" s="144"/>
      <c r="R34" s="144"/>
      <c r="S34" s="144"/>
      <c r="T34" s="144"/>
      <c r="U34" s="144"/>
      <c r="V34" s="36"/>
      <c r="W34" s="111"/>
      <c r="X34" s="36"/>
      <c r="Y34" s="77"/>
      <c r="Z34" s="77"/>
      <c r="AA34" s="77"/>
      <c r="AB34" s="77"/>
      <c r="AC34" s="77"/>
      <c r="AD34" s="77"/>
    </row>
    <row r="35" spans="1:30" x14ac:dyDescent="0.25">
      <c r="A35" s="65"/>
      <c r="B35" s="111"/>
      <c r="C35" s="36"/>
      <c r="D35" s="112"/>
      <c r="E35" s="113"/>
      <c r="G35" s="36"/>
      <c r="H35" s="36"/>
      <c r="I35" s="36"/>
      <c r="J35" s="22"/>
      <c r="K35" s="22"/>
      <c r="L35" s="22"/>
      <c r="M35" s="36"/>
      <c r="N35" s="36"/>
      <c r="O35" s="36"/>
      <c r="P35" s="36"/>
      <c r="Q35" s="144"/>
      <c r="R35" s="144"/>
      <c r="S35" s="144"/>
      <c r="T35" s="144"/>
      <c r="U35" s="144"/>
      <c r="V35" s="36"/>
      <c r="W35" s="111"/>
      <c r="X35" s="36"/>
      <c r="Y35" s="77"/>
      <c r="Z35" s="77"/>
      <c r="AA35" s="77"/>
      <c r="AB35" s="77"/>
      <c r="AC35" s="77"/>
      <c r="AD35" s="77"/>
    </row>
    <row r="36" spans="1:30" x14ac:dyDescent="0.25">
      <c r="A36" s="65"/>
      <c r="B36" s="111"/>
      <c r="C36" s="36"/>
      <c r="D36" s="112"/>
      <c r="E36" s="113"/>
      <c r="G36" s="36"/>
      <c r="H36" s="36"/>
      <c r="I36" s="36"/>
      <c r="J36" s="22"/>
      <c r="K36" s="22"/>
      <c r="L36" s="22"/>
      <c r="M36" s="36"/>
      <c r="N36" s="36"/>
      <c r="O36" s="36"/>
      <c r="P36" s="36"/>
      <c r="Q36" s="144"/>
      <c r="R36" s="144"/>
      <c r="S36" s="144"/>
      <c r="T36" s="144"/>
      <c r="U36" s="144"/>
      <c r="V36" s="36"/>
      <c r="W36" s="111"/>
      <c r="X36" s="36"/>
      <c r="Y36" s="77"/>
      <c r="Z36" s="77"/>
      <c r="AA36" s="77"/>
      <c r="AB36" s="77"/>
      <c r="AC36" s="77"/>
      <c r="AD36" s="77"/>
    </row>
    <row r="37" spans="1:30" x14ac:dyDescent="0.25">
      <c r="A37" s="65"/>
      <c r="B37" s="111"/>
      <c r="C37" s="36"/>
      <c r="D37" s="112"/>
      <c r="E37" s="113"/>
      <c r="G37" s="36"/>
      <c r="H37" s="36"/>
      <c r="I37" s="36"/>
      <c r="J37" s="22"/>
      <c r="K37" s="22"/>
      <c r="L37" s="22"/>
      <c r="M37" s="36"/>
      <c r="N37" s="36"/>
      <c r="O37" s="36"/>
      <c r="P37" s="36"/>
      <c r="Q37" s="144"/>
      <c r="R37" s="144"/>
      <c r="S37" s="144"/>
      <c r="T37" s="144"/>
      <c r="U37" s="144"/>
      <c r="V37" s="36"/>
      <c r="W37" s="111"/>
      <c r="X37" s="36"/>
      <c r="Y37" s="77"/>
      <c r="Z37" s="77"/>
      <c r="AA37" s="77"/>
      <c r="AB37" s="77"/>
      <c r="AC37" s="77"/>
      <c r="AD37" s="77"/>
    </row>
    <row r="38" spans="1:30" x14ac:dyDescent="0.25">
      <c r="A38" s="65"/>
      <c r="B38" s="111"/>
      <c r="C38" s="36"/>
      <c r="D38" s="112"/>
      <c r="E38" s="113"/>
      <c r="G38" s="36"/>
      <c r="H38" s="36"/>
      <c r="I38" s="36"/>
      <c r="J38" s="22"/>
      <c r="K38" s="22"/>
      <c r="L38" s="22"/>
      <c r="M38" s="36"/>
      <c r="N38" s="36"/>
      <c r="O38" s="36"/>
      <c r="P38" s="36"/>
      <c r="Q38" s="144"/>
      <c r="R38" s="144"/>
      <c r="S38" s="144"/>
      <c r="T38" s="144"/>
      <c r="U38" s="144"/>
      <c r="V38" s="36"/>
      <c r="W38" s="111"/>
      <c r="X38" s="36"/>
      <c r="Y38" s="77"/>
      <c r="Z38" s="77"/>
      <c r="AA38" s="77"/>
      <c r="AB38" s="77"/>
      <c r="AC38" s="77"/>
      <c r="AD38" s="77"/>
    </row>
    <row r="39" spans="1:30" x14ac:dyDescent="0.25">
      <c r="A39" s="65"/>
      <c r="B39" s="111"/>
      <c r="C39" s="36"/>
      <c r="D39" s="112"/>
      <c r="E39" s="113"/>
      <c r="G39" s="36"/>
      <c r="H39" s="36"/>
      <c r="I39" s="36"/>
      <c r="J39" s="22"/>
      <c r="K39" s="22"/>
      <c r="L39" s="22"/>
      <c r="M39" s="36"/>
      <c r="N39" s="36"/>
      <c r="O39" s="36"/>
      <c r="P39" s="36"/>
      <c r="Q39" s="144"/>
      <c r="R39" s="144"/>
      <c r="S39" s="144"/>
      <c r="T39" s="144"/>
      <c r="U39" s="144"/>
      <c r="V39" s="36"/>
      <c r="W39" s="111"/>
      <c r="X39" s="111"/>
      <c r="Y39" s="111"/>
      <c r="Z39" s="77"/>
      <c r="AA39" s="77"/>
      <c r="AB39" s="77"/>
      <c r="AC39" s="77"/>
      <c r="AD39" s="77"/>
    </row>
    <row r="40" spans="1:30" x14ac:dyDescent="0.25">
      <c r="A40" s="65"/>
      <c r="B40" s="111"/>
      <c r="C40" s="36"/>
      <c r="D40" s="112"/>
      <c r="E40" s="113"/>
      <c r="G40" s="36"/>
      <c r="H40" s="36"/>
      <c r="I40" s="36"/>
      <c r="J40" s="22"/>
      <c r="K40" s="22"/>
      <c r="L40" s="22"/>
      <c r="M40" s="36"/>
      <c r="N40" s="36"/>
      <c r="O40" s="36"/>
      <c r="P40" s="36"/>
      <c r="Q40" s="144"/>
      <c r="R40" s="144"/>
      <c r="S40" s="144"/>
      <c r="T40" s="144"/>
      <c r="U40" s="144"/>
      <c r="V40" s="36"/>
      <c r="W40" s="111"/>
      <c r="X40" s="111"/>
      <c r="Y40" s="111"/>
      <c r="Z40" s="77"/>
      <c r="AA40" s="77"/>
      <c r="AB40" s="77"/>
      <c r="AC40" s="77"/>
      <c r="AD40" s="77"/>
    </row>
    <row r="41" spans="1:30" x14ac:dyDescent="0.25">
      <c r="A41" s="65"/>
      <c r="B41" s="111"/>
      <c r="C41" s="36"/>
      <c r="D41" s="112"/>
      <c r="E41" s="113"/>
      <c r="G41" s="36"/>
      <c r="H41" s="36"/>
      <c r="I41" s="36"/>
      <c r="J41" s="22"/>
      <c r="K41" s="22"/>
      <c r="L41" s="22"/>
      <c r="M41" s="36"/>
      <c r="N41" s="36"/>
      <c r="O41" s="36"/>
      <c r="P41" s="36"/>
      <c r="Q41" s="144"/>
      <c r="R41" s="144"/>
      <c r="S41" s="144"/>
      <c r="T41" s="144"/>
      <c r="U41" s="144"/>
      <c r="V41" s="36"/>
      <c r="W41" s="111"/>
      <c r="X41" s="111"/>
      <c r="Y41" s="111"/>
      <c r="Z41" s="77"/>
      <c r="AA41" s="77"/>
      <c r="AB41" s="77"/>
      <c r="AC41" s="77"/>
      <c r="AD41" s="77"/>
    </row>
    <row r="42" spans="1:30" x14ac:dyDescent="0.25">
      <c r="A42" s="65"/>
      <c r="B42" s="111"/>
      <c r="C42" s="36"/>
      <c r="D42" s="112"/>
      <c r="E42" s="113"/>
      <c r="G42" s="36"/>
      <c r="H42" s="36"/>
      <c r="I42" s="36"/>
      <c r="J42" s="22"/>
      <c r="K42" s="22"/>
      <c r="L42" s="22"/>
      <c r="M42" s="36"/>
      <c r="N42" s="36"/>
      <c r="O42" s="36"/>
      <c r="P42" s="36"/>
      <c r="Q42" s="144"/>
      <c r="R42" s="144"/>
      <c r="S42" s="144"/>
      <c r="T42" s="144"/>
      <c r="U42" s="144"/>
      <c r="V42" s="36"/>
      <c r="W42" s="111"/>
      <c r="X42" s="111"/>
      <c r="Y42" s="111"/>
      <c r="Z42" s="77"/>
      <c r="AA42" s="77"/>
      <c r="AB42" s="77"/>
      <c r="AC42" s="77"/>
      <c r="AD42" s="77"/>
    </row>
    <row r="43" spans="1:30" x14ac:dyDescent="0.25">
      <c r="A43" s="65"/>
      <c r="B43" s="111"/>
      <c r="C43" s="36"/>
      <c r="D43" s="112"/>
      <c r="E43" s="113"/>
      <c r="G43" s="36"/>
      <c r="H43" s="36"/>
      <c r="I43" s="36"/>
      <c r="J43" s="22"/>
      <c r="K43" s="22"/>
      <c r="L43" s="22"/>
      <c r="M43" s="36"/>
      <c r="N43" s="36"/>
      <c r="O43" s="36"/>
      <c r="P43" s="36"/>
      <c r="Q43" s="144"/>
      <c r="R43" s="144"/>
      <c r="S43" s="144"/>
      <c r="T43" s="144"/>
      <c r="U43" s="144"/>
      <c r="V43" s="36"/>
      <c r="W43" s="111"/>
      <c r="X43" s="111"/>
      <c r="Y43" s="111"/>
      <c r="Z43" s="77"/>
      <c r="AA43" s="77"/>
      <c r="AB43" s="77"/>
      <c r="AC43" s="77"/>
      <c r="AD43" s="77"/>
    </row>
    <row r="44" spans="1:30" x14ac:dyDescent="0.25">
      <c r="A44" s="65"/>
      <c r="B44" s="111"/>
      <c r="C44" s="36"/>
      <c r="D44" s="112"/>
      <c r="E44" s="113"/>
      <c r="G44" s="36"/>
      <c r="H44" s="36"/>
      <c r="I44" s="36"/>
      <c r="J44" s="22"/>
      <c r="K44" s="22"/>
      <c r="L44" s="22"/>
      <c r="M44" s="36"/>
      <c r="N44" s="36"/>
      <c r="O44" s="36"/>
      <c r="P44" s="36"/>
      <c r="Q44" s="144"/>
      <c r="R44" s="144"/>
      <c r="S44" s="144"/>
      <c r="T44" s="144"/>
      <c r="U44" s="144"/>
      <c r="V44" s="36"/>
      <c r="W44" s="111"/>
      <c r="X44" s="111"/>
      <c r="Y44" s="111"/>
      <c r="Z44" s="77"/>
      <c r="AA44" s="77"/>
      <c r="AB44" s="77"/>
      <c r="AC44" s="77"/>
      <c r="AD44" s="77"/>
    </row>
    <row r="45" spans="1:30" x14ac:dyDescent="0.25">
      <c r="A45" s="65"/>
      <c r="B45" s="111"/>
      <c r="C45" s="36"/>
      <c r="D45" s="112"/>
      <c r="E45" s="113"/>
      <c r="G45" s="36"/>
      <c r="H45" s="36"/>
      <c r="I45" s="36"/>
      <c r="J45" s="22"/>
      <c r="K45" s="22"/>
      <c r="L45" s="22"/>
      <c r="M45" s="36"/>
      <c r="N45" s="36"/>
      <c r="O45" s="36"/>
      <c r="P45" s="36"/>
      <c r="Q45" s="144"/>
      <c r="R45" s="144"/>
      <c r="S45" s="144"/>
      <c r="T45" s="144"/>
      <c r="U45" s="144"/>
      <c r="V45" s="36"/>
      <c r="W45" s="111"/>
      <c r="X45" s="111"/>
      <c r="Y45" s="111"/>
      <c r="Z45" s="77"/>
      <c r="AA45" s="77"/>
      <c r="AB45" s="77"/>
      <c r="AC45" s="77"/>
      <c r="AD45" s="77"/>
    </row>
    <row r="46" spans="1:30" x14ac:dyDescent="0.25">
      <c r="A46" s="65"/>
      <c r="B46" s="111"/>
      <c r="C46" s="36"/>
      <c r="D46" s="112"/>
      <c r="E46" s="113"/>
      <c r="G46" s="36"/>
      <c r="H46" s="36"/>
      <c r="I46" s="36"/>
      <c r="J46" s="22"/>
      <c r="K46" s="22"/>
      <c r="L46" s="22"/>
      <c r="M46" s="36"/>
      <c r="N46" s="36"/>
      <c r="O46" s="36"/>
      <c r="P46" s="36"/>
      <c r="Q46" s="144"/>
      <c r="R46" s="144"/>
      <c r="S46" s="144"/>
      <c r="T46" s="144"/>
      <c r="U46" s="144"/>
      <c r="V46" s="36"/>
      <c r="W46" s="111"/>
      <c r="X46" s="111"/>
      <c r="Y46" s="111"/>
      <c r="Z46" s="77"/>
      <c r="AA46" s="77"/>
      <c r="AB46" s="77"/>
      <c r="AC46" s="77"/>
      <c r="AD46" s="77"/>
    </row>
    <row r="47" spans="1:30" x14ac:dyDescent="0.25">
      <c r="A47" s="65"/>
      <c r="B47" s="111"/>
      <c r="C47" s="36"/>
      <c r="D47" s="112"/>
      <c r="E47" s="113"/>
      <c r="G47" s="36"/>
      <c r="H47" s="36"/>
      <c r="I47" s="36"/>
      <c r="J47" s="22"/>
      <c r="K47" s="22"/>
      <c r="L47" s="22"/>
      <c r="M47" s="36"/>
      <c r="N47" s="36"/>
      <c r="O47" s="36"/>
      <c r="P47" s="36"/>
      <c r="Q47" s="144"/>
      <c r="R47" s="144"/>
      <c r="S47" s="144"/>
      <c r="T47" s="144"/>
      <c r="U47" s="144"/>
      <c r="V47" s="36"/>
      <c r="W47" s="111"/>
      <c r="X47" s="111"/>
      <c r="Y47" s="111"/>
      <c r="Z47" s="77"/>
      <c r="AA47" s="77"/>
      <c r="AB47" s="77"/>
      <c r="AC47" s="77"/>
      <c r="AD47" s="77"/>
    </row>
    <row r="48" spans="1:30" x14ac:dyDescent="0.25">
      <c r="A48" s="65"/>
      <c r="B48" s="111"/>
      <c r="C48" s="36"/>
      <c r="D48" s="112"/>
      <c r="E48" s="113"/>
      <c r="G48" s="36"/>
      <c r="H48" s="36"/>
      <c r="I48" s="36"/>
      <c r="J48" s="22"/>
      <c r="K48" s="22"/>
      <c r="L48" s="22"/>
      <c r="M48" s="36"/>
      <c r="N48" s="36"/>
      <c r="O48" s="36"/>
      <c r="P48" s="36"/>
      <c r="Q48" s="144"/>
      <c r="R48" s="144"/>
      <c r="S48" s="144"/>
      <c r="T48" s="144"/>
      <c r="U48" s="144"/>
      <c r="V48" s="36"/>
      <c r="W48" s="111"/>
      <c r="X48" s="111"/>
      <c r="Y48" s="111"/>
      <c r="Z48" s="77"/>
      <c r="AA48" s="77"/>
      <c r="AB48" s="77"/>
      <c r="AC48" s="77"/>
      <c r="AD48" s="77"/>
    </row>
    <row r="49" spans="1:30" x14ac:dyDescent="0.25">
      <c r="A49" s="65"/>
      <c r="B49" s="111"/>
      <c r="C49" s="36"/>
      <c r="D49" s="112"/>
      <c r="E49" s="113"/>
      <c r="G49" s="36"/>
      <c r="H49" s="36"/>
      <c r="I49" s="36"/>
      <c r="J49" s="22"/>
      <c r="K49" s="22"/>
      <c r="L49" s="22"/>
      <c r="M49" s="36"/>
      <c r="N49" s="36"/>
      <c r="O49" s="36"/>
      <c r="P49" s="36"/>
      <c r="Q49" s="144"/>
      <c r="R49" s="144"/>
      <c r="S49" s="144"/>
      <c r="T49" s="144"/>
      <c r="U49" s="144"/>
      <c r="V49" s="36"/>
      <c r="W49" s="111"/>
      <c r="X49" s="111"/>
      <c r="Y49" s="111"/>
      <c r="Z49" s="77"/>
      <c r="AA49" s="77"/>
      <c r="AB49" s="77"/>
      <c r="AC49" s="77"/>
      <c r="AD49" s="77"/>
    </row>
    <row r="50" spans="1:30" x14ac:dyDescent="0.25">
      <c r="A50" s="65"/>
      <c r="B50" s="111"/>
      <c r="C50" s="111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45"/>
      <c r="R50" s="145"/>
      <c r="S50" s="145"/>
      <c r="T50" s="145"/>
      <c r="U50" s="145"/>
      <c r="V50" s="111"/>
      <c r="W50" s="111"/>
      <c r="X50" s="111"/>
      <c r="Y50" s="111"/>
      <c r="Z50" s="77"/>
      <c r="AA50" s="77"/>
      <c r="AB50" s="77"/>
      <c r="AC50" s="77"/>
      <c r="AD50" s="77"/>
    </row>
    <row r="51" spans="1:30" x14ac:dyDescent="0.25">
      <c r="A51" s="65"/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45"/>
      <c r="R51" s="145"/>
      <c r="S51" s="145"/>
      <c r="T51" s="145"/>
      <c r="U51" s="145"/>
      <c r="V51" s="111"/>
      <c r="W51" s="111"/>
      <c r="X51" s="111"/>
      <c r="Y51" s="111"/>
      <c r="Z51" s="77"/>
      <c r="AA51" s="77"/>
      <c r="AB51" s="77"/>
      <c r="AC51" s="77"/>
      <c r="AD51" s="77"/>
    </row>
    <row r="52" spans="1:30" x14ac:dyDescent="0.25">
      <c r="A52" s="65"/>
      <c r="B52" s="111"/>
      <c r="C52" s="111"/>
      <c r="D52" s="111"/>
      <c r="E52" s="111"/>
      <c r="F52" s="111"/>
      <c r="G52" s="111"/>
      <c r="H52" s="111"/>
      <c r="I52" s="111"/>
      <c r="J52" s="111"/>
      <c r="K52" s="111"/>
      <c r="L52" s="111"/>
      <c r="M52" s="111"/>
      <c r="N52" s="111"/>
      <c r="O52" s="111"/>
      <c r="P52" s="111"/>
      <c r="Q52" s="145"/>
      <c r="R52" s="145"/>
      <c r="S52" s="145"/>
      <c r="T52" s="145"/>
      <c r="U52" s="145"/>
      <c r="V52" s="111"/>
      <c r="W52" s="111"/>
      <c r="X52" s="111"/>
      <c r="Y52" s="111"/>
      <c r="Z52" s="77"/>
      <c r="AA52" s="77"/>
      <c r="AB52" s="77"/>
      <c r="AC52" s="77"/>
      <c r="AD52" s="77"/>
    </row>
    <row r="53" spans="1:30" x14ac:dyDescent="0.25">
      <c r="A53" s="65"/>
      <c r="B53" s="111"/>
      <c r="C53" s="36"/>
      <c r="D53" s="111"/>
      <c r="E53" s="113"/>
      <c r="G53" s="36"/>
      <c r="H53" s="36"/>
      <c r="I53" s="36"/>
      <c r="J53" s="22"/>
      <c r="K53" s="22"/>
      <c r="L53" s="22"/>
      <c r="M53" s="36"/>
      <c r="N53" s="36"/>
      <c r="O53" s="36"/>
      <c r="P53" s="36"/>
      <c r="Q53" s="144"/>
      <c r="R53" s="144"/>
      <c r="S53" s="144"/>
      <c r="T53" s="144"/>
      <c r="U53" s="144"/>
      <c r="V53" s="36"/>
      <c r="W53" s="111"/>
      <c r="X53" s="111"/>
      <c r="Y53" s="111"/>
      <c r="Z53" s="77"/>
      <c r="AA53" s="77"/>
      <c r="AB53" s="77"/>
      <c r="AC53" s="77"/>
      <c r="AD53" s="77"/>
    </row>
    <row r="54" spans="1:30" x14ac:dyDescent="0.25">
      <c r="A54" s="65"/>
      <c r="B54" s="111"/>
      <c r="C54" s="36"/>
      <c r="D54" s="111"/>
      <c r="E54" s="113"/>
      <c r="G54" s="36"/>
      <c r="H54" s="36"/>
      <c r="I54" s="36"/>
      <c r="J54" s="22"/>
      <c r="K54" s="22"/>
      <c r="L54" s="22"/>
      <c r="M54" s="36"/>
      <c r="N54" s="36"/>
      <c r="O54" s="36"/>
      <c r="P54" s="36"/>
      <c r="Q54" s="144"/>
      <c r="R54" s="144"/>
      <c r="S54" s="144"/>
      <c r="T54" s="144"/>
      <c r="U54" s="144"/>
      <c r="V54" s="36"/>
      <c r="W54" s="111"/>
      <c r="X54" s="111"/>
      <c r="Y54" s="111"/>
      <c r="Z54" s="77"/>
      <c r="AA54" s="77"/>
      <c r="AB54" s="77"/>
      <c r="AC54" s="77"/>
      <c r="AD54" s="77"/>
    </row>
    <row r="55" spans="1:30" x14ac:dyDescent="0.25">
      <c r="A55" s="65"/>
      <c r="B55" s="111"/>
      <c r="C55" s="36"/>
      <c r="D55" s="111"/>
      <c r="E55" s="113"/>
      <c r="G55" s="36"/>
      <c r="H55" s="36"/>
      <c r="I55" s="36"/>
      <c r="J55" s="22"/>
      <c r="K55" s="22"/>
      <c r="L55" s="22"/>
      <c r="M55" s="36"/>
      <c r="N55" s="36"/>
      <c r="O55" s="36"/>
      <c r="P55" s="36"/>
      <c r="Q55" s="144"/>
      <c r="R55" s="144"/>
      <c r="S55" s="144"/>
      <c r="T55" s="144"/>
      <c r="U55" s="144"/>
      <c r="V55" s="36"/>
      <c r="W55" s="114"/>
      <c r="X55" s="36"/>
      <c r="Y55" s="77"/>
      <c r="Z55" s="77"/>
      <c r="AA55" s="77"/>
      <c r="AB55" s="77"/>
      <c r="AC55" s="77"/>
      <c r="AD55" s="77"/>
    </row>
    <row r="56" spans="1:30" x14ac:dyDescent="0.25">
      <c r="A56" s="65"/>
      <c r="B56" s="111"/>
      <c r="C56" s="36"/>
      <c r="D56" s="111"/>
      <c r="E56" s="113"/>
      <c r="G56" s="36"/>
      <c r="H56" s="36"/>
      <c r="I56" s="36"/>
      <c r="J56" s="22"/>
      <c r="K56" s="22"/>
      <c r="L56" s="22"/>
      <c r="M56" s="36"/>
      <c r="N56" s="36"/>
      <c r="O56" s="36"/>
      <c r="P56" s="36"/>
      <c r="Q56" s="144"/>
      <c r="R56" s="144"/>
      <c r="S56" s="144"/>
      <c r="T56" s="144"/>
      <c r="U56" s="144"/>
      <c r="V56" s="36"/>
      <c r="W56" s="36"/>
      <c r="X56" s="36"/>
      <c r="Y56" s="77"/>
      <c r="Z56" s="77"/>
      <c r="AA56" s="77"/>
      <c r="AB56" s="77"/>
      <c r="AC56" s="77"/>
      <c r="AD56" s="77"/>
    </row>
    <row r="57" spans="1:30" x14ac:dyDescent="0.25">
      <c r="A57" s="65"/>
      <c r="B57" s="111"/>
      <c r="C57" s="36"/>
      <c r="D57" s="111"/>
      <c r="E57" s="113"/>
      <c r="G57" s="36"/>
      <c r="H57" s="36"/>
      <c r="I57" s="36"/>
      <c r="J57" s="22"/>
      <c r="K57" s="22"/>
      <c r="L57" s="22"/>
      <c r="M57" s="36"/>
      <c r="N57" s="36"/>
      <c r="O57" s="36"/>
      <c r="P57" s="36"/>
      <c r="Q57" s="144"/>
      <c r="R57" s="144"/>
      <c r="S57" s="144"/>
      <c r="T57" s="144"/>
      <c r="U57" s="144"/>
      <c r="V57" s="36"/>
      <c r="W57" s="115"/>
      <c r="X57" s="36"/>
      <c r="Y57" s="77"/>
      <c r="Z57" s="77"/>
      <c r="AA57" s="77"/>
      <c r="AB57" s="77"/>
      <c r="AC57" s="77"/>
      <c r="AD57" s="77"/>
    </row>
    <row r="58" spans="1:30" x14ac:dyDescent="0.25">
      <c r="A58" s="65"/>
      <c r="B58" s="111"/>
      <c r="C58" s="36"/>
      <c r="D58" s="111"/>
      <c r="E58" s="113"/>
      <c r="G58" s="36"/>
      <c r="H58" s="36"/>
      <c r="I58" s="36"/>
      <c r="J58" s="22"/>
      <c r="K58" s="22"/>
      <c r="L58" s="22"/>
      <c r="M58" s="36"/>
      <c r="N58" s="36"/>
      <c r="O58" s="36"/>
      <c r="P58" s="36"/>
      <c r="Q58" s="144"/>
      <c r="R58" s="144"/>
      <c r="S58" s="144"/>
      <c r="T58" s="144"/>
      <c r="U58" s="144"/>
      <c r="V58" s="36"/>
      <c r="W58" s="111"/>
      <c r="X58" s="36"/>
      <c r="Y58" s="77"/>
      <c r="Z58" s="77"/>
      <c r="AA58" s="77"/>
      <c r="AB58" s="77"/>
      <c r="AC58" s="77"/>
      <c r="AD58" s="77"/>
    </row>
    <row r="59" spans="1:30" x14ac:dyDescent="0.25">
      <c r="A59" s="65"/>
      <c r="B59" s="111"/>
      <c r="C59" s="36"/>
      <c r="D59" s="111"/>
      <c r="E59" s="113"/>
      <c r="G59" s="36"/>
      <c r="H59" s="36"/>
      <c r="I59" s="36"/>
      <c r="J59" s="22"/>
      <c r="K59" s="22"/>
      <c r="L59" s="22"/>
      <c r="M59" s="36"/>
      <c r="N59" s="36"/>
      <c r="O59" s="36"/>
      <c r="P59" s="36"/>
      <c r="Q59" s="144"/>
      <c r="R59" s="144"/>
      <c r="S59" s="144"/>
      <c r="T59" s="144"/>
      <c r="U59" s="144"/>
      <c r="V59" s="36"/>
      <c r="W59" s="111"/>
      <c r="X59" s="36"/>
      <c r="Y59" s="77"/>
      <c r="Z59" s="77"/>
      <c r="AA59" s="77"/>
      <c r="AB59" s="77"/>
      <c r="AC59" s="77"/>
      <c r="AD59" s="77"/>
    </row>
    <row r="60" spans="1:30" x14ac:dyDescent="0.25">
      <c r="A60" s="65"/>
      <c r="B60" s="111"/>
      <c r="C60" s="36"/>
      <c r="D60" s="111"/>
      <c r="E60" s="113"/>
      <c r="G60" s="36"/>
      <c r="H60" s="36"/>
      <c r="I60" s="36"/>
      <c r="J60" s="22"/>
      <c r="K60" s="22"/>
      <c r="L60" s="22"/>
      <c r="M60" s="36"/>
      <c r="N60" s="36"/>
      <c r="O60" s="36"/>
      <c r="P60" s="36"/>
      <c r="Q60" s="144"/>
      <c r="R60" s="144"/>
      <c r="S60" s="144"/>
      <c r="T60" s="144"/>
      <c r="U60" s="144"/>
      <c r="V60" s="36"/>
      <c r="W60" s="111"/>
      <c r="X60" s="36"/>
      <c r="Y60" s="77"/>
      <c r="Z60" s="77"/>
      <c r="AA60" s="77"/>
      <c r="AB60" s="77"/>
      <c r="AC60" s="77"/>
      <c r="AD60" s="77"/>
    </row>
    <row r="61" spans="1:30" x14ac:dyDescent="0.25">
      <c r="A61" s="65"/>
      <c r="B61" s="111"/>
      <c r="C61" s="36"/>
      <c r="D61" s="111"/>
      <c r="E61" s="113"/>
      <c r="G61" s="36"/>
      <c r="H61" s="36"/>
      <c r="I61" s="36"/>
      <c r="J61" s="22"/>
      <c r="K61" s="22"/>
      <c r="L61" s="22"/>
      <c r="M61" s="36"/>
      <c r="N61" s="36"/>
      <c r="O61" s="36"/>
      <c r="P61" s="36"/>
      <c r="Q61" s="144"/>
      <c r="R61" s="144"/>
      <c r="S61" s="144"/>
      <c r="T61" s="144"/>
      <c r="U61" s="144"/>
      <c r="V61" s="36"/>
      <c r="W61" s="111"/>
      <c r="X61" s="36"/>
      <c r="Y61" s="77"/>
      <c r="Z61" s="77"/>
      <c r="AA61" s="77"/>
      <c r="AB61" s="77"/>
      <c r="AC61" s="77"/>
      <c r="AD61" s="77"/>
    </row>
    <row r="62" spans="1:30" x14ac:dyDescent="0.25">
      <c r="A62" s="65"/>
      <c r="B62" s="111"/>
      <c r="C62" s="36"/>
      <c r="D62" s="111"/>
      <c r="E62" s="113"/>
      <c r="G62" s="36"/>
      <c r="H62" s="36"/>
      <c r="I62" s="36"/>
      <c r="J62" s="22"/>
      <c r="K62" s="22"/>
      <c r="L62" s="22"/>
      <c r="M62" s="36"/>
      <c r="N62" s="36"/>
      <c r="O62" s="36"/>
      <c r="P62" s="36"/>
      <c r="Q62" s="144"/>
      <c r="R62" s="144"/>
      <c r="S62" s="144"/>
      <c r="T62" s="144"/>
      <c r="U62" s="144"/>
      <c r="V62" s="36"/>
      <c r="W62" s="111"/>
      <c r="X62" s="36"/>
      <c r="Y62" s="77"/>
      <c r="Z62" s="77"/>
      <c r="AA62" s="77"/>
      <c r="AB62" s="77"/>
      <c r="AC62" s="77"/>
      <c r="AD62" s="77"/>
    </row>
    <row r="63" spans="1:30" x14ac:dyDescent="0.25">
      <c r="A63" s="65"/>
      <c r="B63" s="111"/>
      <c r="C63" s="36"/>
      <c r="D63" s="111"/>
      <c r="E63" s="113"/>
      <c r="G63" s="36"/>
      <c r="H63" s="36"/>
      <c r="I63" s="36"/>
      <c r="J63" s="22"/>
      <c r="K63" s="22"/>
      <c r="L63" s="22"/>
      <c r="M63" s="36"/>
      <c r="N63" s="36"/>
      <c r="O63" s="36"/>
      <c r="P63" s="36"/>
      <c r="Q63" s="144"/>
      <c r="R63" s="144"/>
      <c r="S63" s="144"/>
      <c r="T63" s="144"/>
      <c r="U63" s="144"/>
      <c r="V63" s="36"/>
      <c r="W63" s="111"/>
      <c r="X63" s="36"/>
      <c r="Y63" s="77"/>
      <c r="Z63" s="77"/>
      <c r="AA63" s="77"/>
      <c r="AB63" s="77"/>
      <c r="AC63" s="77"/>
      <c r="AD63" s="77"/>
    </row>
    <row r="64" spans="1:30" x14ac:dyDescent="0.25">
      <c r="A64" s="65"/>
      <c r="B64" s="111"/>
      <c r="C64" s="36"/>
      <c r="D64" s="111"/>
      <c r="E64" s="113"/>
      <c r="G64" s="36"/>
      <c r="H64" s="36"/>
      <c r="I64" s="36"/>
      <c r="J64" s="22"/>
      <c r="K64" s="22"/>
      <c r="L64" s="22"/>
      <c r="M64" s="36"/>
      <c r="N64" s="36"/>
      <c r="O64" s="36"/>
      <c r="P64" s="36"/>
      <c r="Q64" s="144"/>
      <c r="R64" s="144"/>
      <c r="S64" s="144"/>
      <c r="T64" s="144"/>
      <c r="U64" s="144"/>
      <c r="V64" s="36"/>
      <c r="W64" s="111"/>
      <c r="X64" s="36"/>
      <c r="Y64" s="77"/>
      <c r="Z64" s="77"/>
      <c r="AA64" s="77"/>
      <c r="AB64" s="77"/>
      <c r="AC64" s="77"/>
      <c r="AD64" s="77"/>
    </row>
    <row r="65" spans="1:30" x14ac:dyDescent="0.25">
      <c r="A65" s="65"/>
      <c r="B65" s="111"/>
      <c r="C65" s="36"/>
      <c r="D65" s="111"/>
      <c r="E65" s="111"/>
      <c r="F65" s="22"/>
      <c r="G65" s="36"/>
      <c r="H65" s="36"/>
      <c r="I65" s="36"/>
      <c r="J65" s="22"/>
      <c r="K65" s="22"/>
      <c r="L65" s="22"/>
      <c r="M65" s="22"/>
      <c r="N65" s="59"/>
      <c r="O65" s="59"/>
      <c r="P65" s="22"/>
      <c r="Q65" s="146"/>
      <c r="R65" s="146"/>
      <c r="S65" s="146"/>
      <c r="T65" s="146"/>
      <c r="U65" s="146"/>
      <c r="V65" s="22"/>
      <c r="W65" s="111"/>
      <c r="X65" s="22"/>
      <c r="Y65" s="77"/>
      <c r="Z65" s="77"/>
      <c r="AA65" s="77"/>
      <c r="AB65" s="77"/>
      <c r="AC65" s="77"/>
      <c r="AD65" s="77"/>
    </row>
    <row r="66" spans="1:30" x14ac:dyDescent="0.25">
      <c r="A66" s="65"/>
      <c r="B66" s="111"/>
      <c r="C66" s="36"/>
      <c r="D66" s="111"/>
      <c r="E66" s="111"/>
      <c r="F66" s="22"/>
      <c r="G66" s="36"/>
      <c r="H66" s="36"/>
      <c r="I66" s="36"/>
      <c r="J66" s="22"/>
      <c r="K66" s="22"/>
      <c r="L66" s="22"/>
      <c r="M66" s="22"/>
      <c r="N66" s="59"/>
      <c r="O66" s="59"/>
      <c r="P66" s="22"/>
      <c r="Q66" s="146"/>
      <c r="R66" s="146"/>
      <c r="S66" s="146"/>
      <c r="T66" s="146"/>
      <c r="U66" s="146"/>
      <c r="V66" s="22"/>
      <c r="W66" s="111"/>
      <c r="X66" s="22"/>
      <c r="Y66" s="77"/>
      <c r="Z66" s="77"/>
      <c r="AA66" s="77"/>
      <c r="AB66" s="77"/>
      <c r="AC66" s="77"/>
      <c r="AD66" s="77"/>
    </row>
    <row r="67" spans="1:30" x14ac:dyDescent="0.25">
      <c r="A67" s="65"/>
      <c r="B67" s="111"/>
      <c r="C67" s="36"/>
      <c r="D67" s="111"/>
      <c r="E67" s="111"/>
      <c r="F67" s="22"/>
      <c r="G67" s="36"/>
      <c r="H67" s="36"/>
      <c r="I67" s="36"/>
      <c r="J67" s="22"/>
      <c r="K67" s="22"/>
      <c r="L67" s="22"/>
      <c r="M67" s="22"/>
      <c r="N67" s="59"/>
      <c r="O67" s="59"/>
      <c r="P67" s="22"/>
      <c r="Q67" s="146"/>
      <c r="R67" s="146"/>
      <c r="S67" s="146"/>
      <c r="T67" s="146"/>
      <c r="U67" s="146"/>
      <c r="V67" s="22"/>
      <c r="W67" s="111"/>
      <c r="X67" s="22"/>
      <c r="Y67" s="77"/>
      <c r="Z67" s="77"/>
      <c r="AA67" s="77"/>
      <c r="AB67" s="77"/>
      <c r="AC67" s="77"/>
      <c r="AD67" s="77"/>
    </row>
    <row r="68" spans="1:30" x14ac:dyDescent="0.25">
      <c r="A68" s="65"/>
      <c r="B68" s="111"/>
      <c r="C68" s="36"/>
      <c r="D68" s="111"/>
      <c r="E68" s="111"/>
      <c r="F68" s="22"/>
      <c r="G68" s="36"/>
      <c r="H68" s="36"/>
      <c r="I68" s="36"/>
      <c r="J68" s="22"/>
      <c r="K68" s="22"/>
      <c r="L68" s="22"/>
      <c r="M68" s="22"/>
      <c r="N68" s="59"/>
      <c r="O68" s="59"/>
      <c r="P68" s="22"/>
      <c r="Q68" s="146"/>
      <c r="R68" s="146"/>
      <c r="S68" s="146"/>
      <c r="T68" s="146"/>
      <c r="U68" s="146"/>
      <c r="V68" s="22"/>
      <c r="W68" s="111"/>
      <c r="X68" s="22"/>
      <c r="Y68" s="77"/>
      <c r="Z68" s="77"/>
      <c r="AA68" s="77"/>
      <c r="AB68" s="77"/>
      <c r="AC68" s="77"/>
      <c r="AD68" s="77"/>
    </row>
    <row r="69" spans="1:30" x14ac:dyDescent="0.25">
      <c r="A69" s="65"/>
      <c r="B69" s="111"/>
      <c r="C69" s="36"/>
      <c r="D69" s="111"/>
      <c r="E69" s="111"/>
      <c r="F69" s="22"/>
      <c r="G69" s="36"/>
      <c r="H69" s="36"/>
      <c r="I69" s="36"/>
      <c r="J69" s="22"/>
      <c r="K69" s="22"/>
      <c r="L69" s="22"/>
      <c r="M69" s="22"/>
      <c r="N69" s="59"/>
      <c r="O69" s="59"/>
      <c r="P69" s="22"/>
      <c r="Q69" s="146"/>
      <c r="R69" s="146"/>
      <c r="S69" s="146"/>
      <c r="T69" s="146"/>
      <c r="U69" s="146"/>
      <c r="V69" s="22"/>
      <c r="W69" s="111"/>
      <c r="X69" s="22"/>
      <c r="Y69" s="77"/>
      <c r="Z69" s="77"/>
      <c r="AA69" s="77"/>
      <c r="AB69" s="77"/>
      <c r="AC69" s="77"/>
      <c r="AD69" s="77"/>
    </row>
    <row r="70" spans="1:30" x14ac:dyDescent="0.25">
      <c r="A70" s="65"/>
      <c r="B70" s="111"/>
      <c r="C70" s="36"/>
      <c r="D70" s="111"/>
      <c r="E70" s="111"/>
      <c r="F70" s="22"/>
      <c r="G70" s="36"/>
      <c r="H70" s="36"/>
      <c r="I70" s="36"/>
      <c r="J70" s="22"/>
      <c r="K70" s="22"/>
      <c r="L70" s="22"/>
      <c r="M70" s="22"/>
      <c r="N70" s="59"/>
      <c r="O70" s="59"/>
      <c r="P70" s="22"/>
      <c r="Q70" s="146"/>
      <c r="R70" s="146"/>
      <c r="S70" s="146"/>
      <c r="T70" s="146"/>
      <c r="U70" s="146"/>
      <c r="V70" s="22"/>
      <c r="W70" s="111"/>
      <c r="X70" s="22"/>
      <c r="Y70" s="77"/>
      <c r="Z70" s="77"/>
      <c r="AA70" s="77"/>
      <c r="AB70" s="77"/>
      <c r="AC70" s="77"/>
      <c r="AD70" s="77"/>
    </row>
  </sheetData>
  <sortState xmlns:xlrd2="http://schemas.microsoft.com/office/spreadsheetml/2017/richdata2" ref="B11:X12">
    <sortCondition ref="B1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9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255" customWidth="1"/>
    <col min="9" max="10" width="6.7109375" style="61" customWidth="1"/>
    <col min="11" max="11" width="9.7109375" style="256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240"/>
      <c r="B1" s="9" t="s">
        <v>500</v>
      </c>
      <c r="C1" s="10"/>
      <c r="D1" s="11"/>
      <c r="E1" s="10"/>
      <c r="F1" s="183"/>
      <c r="G1" s="79"/>
      <c r="H1" s="241"/>
      <c r="I1" s="183"/>
      <c r="J1" s="79"/>
      <c r="K1" s="242"/>
      <c r="L1" s="183"/>
      <c r="M1" s="79"/>
      <c r="N1" s="10"/>
      <c r="O1" s="183"/>
      <c r="P1" s="79"/>
      <c r="Q1" s="10"/>
      <c r="R1" s="183"/>
      <c r="S1" s="79"/>
      <c r="T1" s="32"/>
      <c r="U1" s="159"/>
      <c r="V1" s="9" t="s">
        <v>508</v>
      </c>
      <c r="W1" s="10"/>
      <c r="X1" s="11"/>
      <c r="Y1" s="79"/>
      <c r="Z1" s="79"/>
      <c r="AA1" s="79"/>
      <c r="AB1" s="79"/>
      <c r="AC1" s="243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6"/>
      <c r="C2" s="13"/>
      <c r="D2" s="57"/>
      <c r="E2" s="220"/>
      <c r="F2" s="214"/>
      <c r="G2" s="220" t="s">
        <v>18</v>
      </c>
      <c r="H2" s="244"/>
      <c r="I2" s="214"/>
      <c r="J2" s="220" t="s">
        <v>19</v>
      </c>
      <c r="K2" s="245"/>
      <c r="L2" s="214"/>
      <c r="M2" s="220" t="s">
        <v>20</v>
      </c>
      <c r="N2" s="213"/>
      <c r="O2" s="214"/>
      <c r="P2" s="220" t="s">
        <v>21</v>
      </c>
      <c r="Q2" s="213"/>
      <c r="R2" s="214"/>
      <c r="S2" s="220" t="s">
        <v>7</v>
      </c>
      <c r="T2" s="213"/>
      <c r="U2" s="39"/>
      <c r="V2" s="16"/>
      <c r="W2" s="13"/>
      <c r="X2" s="56"/>
      <c r="Y2" s="13"/>
      <c r="Z2" s="13"/>
      <c r="AA2" s="13"/>
      <c r="AB2" s="13"/>
      <c r="AC2" s="14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6" t="s">
        <v>0</v>
      </c>
      <c r="C3" s="13" t="s">
        <v>4</v>
      </c>
      <c r="D3" s="57" t="s">
        <v>1</v>
      </c>
      <c r="E3" s="13" t="s">
        <v>3</v>
      </c>
      <c r="F3" s="16" t="s">
        <v>17</v>
      </c>
      <c r="G3" s="13" t="s">
        <v>501</v>
      </c>
      <c r="H3" s="155" t="s">
        <v>502</v>
      </c>
      <c r="I3" s="16" t="s">
        <v>17</v>
      </c>
      <c r="J3" s="13" t="s">
        <v>501</v>
      </c>
      <c r="K3" s="155" t="s">
        <v>502</v>
      </c>
      <c r="L3" s="16" t="s">
        <v>17</v>
      </c>
      <c r="M3" s="13" t="s">
        <v>501</v>
      </c>
      <c r="N3" s="155" t="s">
        <v>502</v>
      </c>
      <c r="O3" s="16" t="s">
        <v>17</v>
      </c>
      <c r="P3" s="13" t="s">
        <v>501</v>
      </c>
      <c r="Q3" s="155" t="s">
        <v>502</v>
      </c>
      <c r="R3" s="16" t="s">
        <v>17</v>
      </c>
      <c r="S3" s="13" t="s">
        <v>501</v>
      </c>
      <c r="T3" s="155" t="s">
        <v>502</v>
      </c>
      <c r="U3" s="39"/>
      <c r="V3" s="16" t="s">
        <v>0</v>
      </c>
      <c r="W3" s="13" t="s">
        <v>4</v>
      </c>
      <c r="X3" s="57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7">
        <v>1999</v>
      </c>
      <c r="C4" s="27" t="s">
        <v>37</v>
      </c>
      <c r="D4" s="30" t="s">
        <v>35</v>
      </c>
      <c r="E4" s="73">
        <v>26</v>
      </c>
      <c r="F4" s="27">
        <v>8</v>
      </c>
      <c r="G4" s="27">
        <v>19</v>
      </c>
      <c r="H4" s="31">
        <f>PRODUCT(F4/G4)</f>
        <v>0.42105263157894735</v>
      </c>
      <c r="I4" s="27">
        <v>19</v>
      </c>
      <c r="J4" s="27">
        <v>34</v>
      </c>
      <c r="K4" s="31">
        <f>PRODUCT(I4/J4)</f>
        <v>0.55882352941176472</v>
      </c>
      <c r="L4" s="27">
        <v>38</v>
      </c>
      <c r="M4" s="27">
        <v>60</v>
      </c>
      <c r="N4" s="31">
        <f>PRODUCT(L4/M4)</f>
        <v>0.6333333333333333</v>
      </c>
      <c r="O4" s="27">
        <v>24</v>
      </c>
      <c r="P4" s="27">
        <v>52</v>
      </c>
      <c r="Q4" s="31">
        <f>PRODUCT(O4/P4)</f>
        <v>0.46153846153846156</v>
      </c>
      <c r="R4" s="27">
        <v>89</v>
      </c>
      <c r="S4" s="249">
        <f t="shared" ref="S4" si="0">PRODUCT(G4+J4+M4+P4)</f>
        <v>165</v>
      </c>
      <c r="T4" s="31">
        <v>0.54500000000000004</v>
      </c>
      <c r="U4" s="39"/>
      <c r="V4" s="27">
        <v>1999</v>
      </c>
      <c r="W4" s="27" t="s">
        <v>37</v>
      </c>
      <c r="X4" s="30" t="s">
        <v>35</v>
      </c>
      <c r="Y4" s="252"/>
      <c r="Z4" s="252"/>
      <c r="AA4" s="252" t="s">
        <v>224</v>
      </c>
      <c r="AB4" s="252" t="s">
        <v>217</v>
      </c>
      <c r="AC4" s="27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7">
        <v>2000</v>
      </c>
      <c r="C5" s="27" t="s">
        <v>34</v>
      </c>
      <c r="D5" s="30" t="s">
        <v>35</v>
      </c>
      <c r="E5" s="73">
        <v>28</v>
      </c>
      <c r="F5" s="27">
        <v>17</v>
      </c>
      <c r="G5" s="27">
        <v>39</v>
      </c>
      <c r="H5" s="46">
        <v>0.43580000000000002</v>
      </c>
      <c r="I5" s="27">
        <v>36</v>
      </c>
      <c r="J5" s="27">
        <v>58</v>
      </c>
      <c r="K5" s="46">
        <v>0.62060000000000004</v>
      </c>
      <c r="L5" s="27">
        <v>39</v>
      </c>
      <c r="M5" s="27">
        <v>62</v>
      </c>
      <c r="N5" s="46">
        <v>0.629</v>
      </c>
      <c r="O5" s="27">
        <v>32</v>
      </c>
      <c r="P5" s="27">
        <v>52</v>
      </c>
      <c r="Q5" s="46">
        <v>0.61529999999999996</v>
      </c>
      <c r="R5" s="27">
        <v>124</v>
      </c>
      <c r="S5" s="249">
        <v>211</v>
      </c>
      <c r="T5" s="31">
        <v>0.58767772511848337</v>
      </c>
      <c r="U5" s="39"/>
      <c r="V5" s="27">
        <v>2000</v>
      </c>
      <c r="W5" s="27" t="s">
        <v>34</v>
      </c>
      <c r="X5" s="30" t="s">
        <v>35</v>
      </c>
      <c r="Y5" s="252"/>
      <c r="Z5" s="252"/>
      <c r="AA5" s="252" t="s">
        <v>225</v>
      </c>
      <c r="AB5" s="252" t="s">
        <v>218</v>
      </c>
      <c r="AC5" s="27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7">
        <v>2001</v>
      </c>
      <c r="C6" s="27" t="s">
        <v>34</v>
      </c>
      <c r="D6" s="30" t="s">
        <v>35</v>
      </c>
      <c r="E6" s="73">
        <v>28</v>
      </c>
      <c r="F6" s="27">
        <v>8</v>
      </c>
      <c r="G6" s="27">
        <v>13</v>
      </c>
      <c r="H6" s="46">
        <v>0.61529999999999996</v>
      </c>
      <c r="I6" s="27">
        <v>24</v>
      </c>
      <c r="J6" s="27">
        <v>41</v>
      </c>
      <c r="K6" s="46">
        <v>0.58530000000000004</v>
      </c>
      <c r="L6" s="27">
        <v>52</v>
      </c>
      <c r="M6" s="27">
        <v>64</v>
      </c>
      <c r="N6" s="46">
        <v>0.8125</v>
      </c>
      <c r="O6" s="27">
        <v>63</v>
      </c>
      <c r="P6" s="27">
        <v>108</v>
      </c>
      <c r="Q6" s="46">
        <v>0.58330000000000004</v>
      </c>
      <c r="R6" s="27">
        <v>147</v>
      </c>
      <c r="S6" s="249">
        <v>226</v>
      </c>
      <c r="T6" s="31">
        <v>0.65044247787610621</v>
      </c>
      <c r="U6" s="39"/>
      <c r="V6" s="27">
        <v>2001</v>
      </c>
      <c r="W6" s="27" t="s">
        <v>34</v>
      </c>
      <c r="X6" s="30" t="s">
        <v>35</v>
      </c>
      <c r="Y6" s="252"/>
      <c r="Z6" s="252"/>
      <c r="AA6" s="252" t="s">
        <v>229</v>
      </c>
      <c r="AB6" s="252" t="s">
        <v>39</v>
      </c>
      <c r="AC6" s="27" t="s">
        <v>232</v>
      </c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7">
        <v>2002</v>
      </c>
      <c r="C7" s="27" t="s">
        <v>37</v>
      </c>
      <c r="D7" s="30" t="s">
        <v>35</v>
      </c>
      <c r="E7" s="73">
        <v>29</v>
      </c>
      <c r="F7" s="27">
        <v>4</v>
      </c>
      <c r="G7" s="27">
        <v>11</v>
      </c>
      <c r="H7" s="46">
        <v>0.36359999999999998</v>
      </c>
      <c r="I7" s="27">
        <v>30</v>
      </c>
      <c r="J7" s="27">
        <v>38</v>
      </c>
      <c r="K7" s="46">
        <v>0.78939999999999999</v>
      </c>
      <c r="L7" s="27">
        <v>60</v>
      </c>
      <c r="M7" s="27">
        <v>84</v>
      </c>
      <c r="N7" s="46">
        <v>0.71419999999999995</v>
      </c>
      <c r="O7" s="27">
        <v>37</v>
      </c>
      <c r="P7" s="27">
        <v>80</v>
      </c>
      <c r="Q7" s="46">
        <v>0.46250000000000002</v>
      </c>
      <c r="R7" s="27">
        <v>131</v>
      </c>
      <c r="S7" s="249">
        <v>213</v>
      </c>
      <c r="T7" s="31">
        <v>0.61502347417840375</v>
      </c>
      <c r="U7" s="39"/>
      <c r="V7" s="27">
        <v>2002</v>
      </c>
      <c r="W7" s="27" t="s">
        <v>37</v>
      </c>
      <c r="X7" s="30" t="s">
        <v>35</v>
      </c>
      <c r="Y7" s="252"/>
      <c r="Z7" s="252"/>
      <c r="AA7" s="252" t="s">
        <v>350</v>
      </c>
      <c r="AB7" s="252" t="s">
        <v>221</v>
      </c>
      <c r="AC7" s="27" t="s">
        <v>219</v>
      </c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7">
        <v>2003</v>
      </c>
      <c r="C8" s="27" t="s">
        <v>36</v>
      </c>
      <c r="D8" s="30" t="s">
        <v>35</v>
      </c>
      <c r="E8" s="73">
        <v>26</v>
      </c>
      <c r="F8" s="27">
        <v>8</v>
      </c>
      <c r="G8" s="27">
        <v>16</v>
      </c>
      <c r="H8" s="46">
        <v>0.5</v>
      </c>
      <c r="I8" s="27">
        <v>19</v>
      </c>
      <c r="J8" s="27">
        <v>41</v>
      </c>
      <c r="K8" s="46">
        <v>0.46339999999999998</v>
      </c>
      <c r="L8" s="27">
        <v>30</v>
      </c>
      <c r="M8" s="27">
        <v>47</v>
      </c>
      <c r="N8" s="46">
        <v>0.63819999999999999</v>
      </c>
      <c r="O8" s="27">
        <v>46</v>
      </c>
      <c r="P8" s="27">
        <v>85</v>
      </c>
      <c r="Q8" s="46">
        <v>0.54110000000000003</v>
      </c>
      <c r="R8" s="27">
        <v>103</v>
      </c>
      <c r="S8" s="249">
        <v>189</v>
      </c>
      <c r="T8" s="31">
        <v>0.544973544973545</v>
      </c>
      <c r="U8" s="39"/>
      <c r="V8" s="27">
        <v>2003</v>
      </c>
      <c r="W8" s="27" t="s">
        <v>36</v>
      </c>
      <c r="X8" s="30" t="s">
        <v>35</v>
      </c>
      <c r="Y8" s="252"/>
      <c r="Z8" s="252"/>
      <c r="AA8" s="252" t="s">
        <v>504</v>
      </c>
      <c r="AB8" s="252" t="s">
        <v>41</v>
      </c>
      <c r="AC8" s="27"/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7">
        <v>2004</v>
      </c>
      <c r="C9" s="27" t="s">
        <v>37</v>
      </c>
      <c r="D9" s="30" t="s">
        <v>35</v>
      </c>
      <c r="E9" s="73">
        <v>25</v>
      </c>
      <c r="F9" s="27">
        <v>5</v>
      </c>
      <c r="G9" s="27">
        <v>17</v>
      </c>
      <c r="H9" s="46">
        <v>0.29409999999999997</v>
      </c>
      <c r="I9" s="27">
        <v>23</v>
      </c>
      <c r="J9" s="27">
        <v>44</v>
      </c>
      <c r="K9" s="46">
        <v>0.52270000000000005</v>
      </c>
      <c r="L9" s="27">
        <v>50</v>
      </c>
      <c r="M9" s="27">
        <v>65</v>
      </c>
      <c r="N9" s="46">
        <v>0.76919999999999999</v>
      </c>
      <c r="O9" s="27">
        <v>41</v>
      </c>
      <c r="P9" s="27">
        <v>86</v>
      </c>
      <c r="Q9" s="46">
        <v>0.47670000000000001</v>
      </c>
      <c r="R9" s="27">
        <v>119</v>
      </c>
      <c r="S9" s="249">
        <v>212</v>
      </c>
      <c r="T9" s="31">
        <v>0.56132075471698117</v>
      </c>
      <c r="U9" s="39"/>
      <c r="V9" s="27">
        <v>2004</v>
      </c>
      <c r="W9" s="27" t="s">
        <v>37</v>
      </c>
      <c r="X9" s="30" t="s">
        <v>35</v>
      </c>
      <c r="Y9" s="252"/>
      <c r="Z9" s="252"/>
      <c r="AA9" s="252" t="s">
        <v>230</v>
      </c>
      <c r="AB9" s="252" t="s">
        <v>50</v>
      </c>
      <c r="AC9" s="27" t="s">
        <v>225</v>
      </c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7">
        <v>2005</v>
      </c>
      <c r="C10" s="27" t="s">
        <v>39</v>
      </c>
      <c r="D10" s="30" t="s">
        <v>35</v>
      </c>
      <c r="E10" s="73">
        <v>24</v>
      </c>
      <c r="F10" s="27">
        <v>8</v>
      </c>
      <c r="G10" s="27">
        <v>18</v>
      </c>
      <c r="H10" s="46">
        <v>0.44440000000000002</v>
      </c>
      <c r="I10" s="27">
        <v>38</v>
      </c>
      <c r="J10" s="27">
        <v>58</v>
      </c>
      <c r="K10" s="46">
        <v>0.65510000000000002</v>
      </c>
      <c r="L10" s="27">
        <v>48</v>
      </c>
      <c r="M10" s="27">
        <v>69</v>
      </c>
      <c r="N10" s="46">
        <v>0.6956</v>
      </c>
      <c r="O10" s="27">
        <v>24</v>
      </c>
      <c r="P10" s="27">
        <v>47</v>
      </c>
      <c r="Q10" s="46">
        <v>0.51060000000000005</v>
      </c>
      <c r="R10" s="27">
        <v>118</v>
      </c>
      <c r="S10" s="249">
        <v>192</v>
      </c>
      <c r="T10" s="31">
        <v>0.61458333333333337</v>
      </c>
      <c r="U10" s="39"/>
      <c r="V10" s="27">
        <v>2005</v>
      </c>
      <c r="W10" s="27" t="s">
        <v>39</v>
      </c>
      <c r="X10" s="30" t="s">
        <v>35</v>
      </c>
      <c r="Y10" s="252"/>
      <c r="Z10" s="252" t="s">
        <v>217</v>
      </c>
      <c r="AA10" s="252" t="s">
        <v>221</v>
      </c>
      <c r="AB10" s="252" t="s">
        <v>223</v>
      </c>
      <c r="AC10" s="27" t="s">
        <v>225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7">
        <v>2006</v>
      </c>
      <c r="C11" s="27" t="s">
        <v>57</v>
      </c>
      <c r="D11" s="30" t="s">
        <v>35</v>
      </c>
      <c r="E11" s="73">
        <v>27</v>
      </c>
      <c r="F11" s="27">
        <v>12</v>
      </c>
      <c r="G11" s="27">
        <v>23</v>
      </c>
      <c r="H11" s="46">
        <v>0.52170000000000005</v>
      </c>
      <c r="I11" s="27">
        <v>30</v>
      </c>
      <c r="J11" s="27">
        <v>60</v>
      </c>
      <c r="K11" s="46">
        <v>0.5</v>
      </c>
      <c r="L11" s="27">
        <v>88</v>
      </c>
      <c r="M11" s="27">
        <v>116</v>
      </c>
      <c r="N11" s="46">
        <v>0.75860000000000005</v>
      </c>
      <c r="O11" s="27">
        <v>29</v>
      </c>
      <c r="P11" s="27">
        <v>47</v>
      </c>
      <c r="Q11" s="46">
        <v>0.61699999999999999</v>
      </c>
      <c r="R11" s="27">
        <v>159</v>
      </c>
      <c r="S11" s="249">
        <v>246</v>
      </c>
      <c r="T11" s="31">
        <v>0.64634146341463417</v>
      </c>
      <c r="U11" s="39"/>
      <c r="V11" s="27">
        <v>2006</v>
      </c>
      <c r="W11" s="27" t="s">
        <v>57</v>
      </c>
      <c r="X11" s="30" t="s">
        <v>35</v>
      </c>
      <c r="Y11" s="252"/>
      <c r="Z11" s="252"/>
      <c r="AA11" s="252" t="s">
        <v>40</v>
      </c>
      <c r="AB11" s="252" t="s">
        <v>226</v>
      </c>
      <c r="AC11" s="27" t="s">
        <v>39</v>
      </c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7">
        <v>2007</v>
      </c>
      <c r="C12" s="27" t="s">
        <v>36</v>
      </c>
      <c r="D12" s="30" t="s">
        <v>35</v>
      </c>
      <c r="E12" s="73">
        <v>25</v>
      </c>
      <c r="F12" s="27">
        <v>10</v>
      </c>
      <c r="G12" s="27">
        <v>26</v>
      </c>
      <c r="H12" s="46">
        <v>0.3846</v>
      </c>
      <c r="I12" s="27">
        <v>54</v>
      </c>
      <c r="J12" s="27">
        <v>76</v>
      </c>
      <c r="K12" s="46">
        <v>0.71050000000000002</v>
      </c>
      <c r="L12" s="27">
        <v>71</v>
      </c>
      <c r="M12" s="27">
        <v>89</v>
      </c>
      <c r="N12" s="46">
        <v>0.79769999999999996</v>
      </c>
      <c r="O12" s="27">
        <v>30</v>
      </c>
      <c r="P12" s="27">
        <v>42</v>
      </c>
      <c r="Q12" s="46">
        <v>0.71419999999999995</v>
      </c>
      <c r="R12" s="27">
        <v>165</v>
      </c>
      <c r="S12" s="249">
        <v>233</v>
      </c>
      <c r="T12" s="31">
        <v>0.70815450643776823</v>
      </c>
      <c r="U12" s="39"/>
      <c r="V12" s="27">
        <v>2007</v>
      </c>
      <c r="W12" s="27" t="s">
        <v>36</v>
      </c>
      <c r="X12" s="30" t="s">
        <v>35</v>
      </c>
      <c r="Y12" s="252"/>
      <c r="Z12" s="252" t="s">
        <v>221</v>
      </c>
      <c r="AA12" s="252" t="s">
        <v>38</v>
      </c>
      <c r="AB12" s="252" t="s">
        <v>342</v>
      </c>
      <c r="AC12" s="27" t="s">
        <v>38</v>
      </c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7">
        <v>2008</v>
      </c>
      <c r="C13" s="27" t="s">
        <v>57</v>
      </c>
      <c r="D13" s="30" t="s">
        <v>35</v>
      </c>
      <c r="E13" s="73">
        <v>24</v>
      </c>
      <c r="F13" s="27">
        <v>18</v>
      </c>
      <c r="G13" s="27">
        <v>31</v>
      </c>
      <c r="H13" s="46">
        <v>0.5806</v>
      </c>
      <c r="I13" s="27">
        <v>42</v>
      </c>
      <c r="J13" s="27">
        <v>76</v>
      </c>
      <c r="K13" s="46">
        <v>0.55259999999999998</v>
      </c>
      <c r="L13" s="27">
        <v>50</v>
      </c>
      <c r="M13" s="27">
        <v>74</v>
      </c>
      <c r="N13" s="46">
        <v>0.67559999999999998</v>
      </c>
      <c r="O13" s="27">
        <v>14</v>
      </c>
      <c r="P13" s="27">
        <v>30</v>
      </c>
      <c r="Q13" s="46">
        <v>0.46660000000000001</v>
      </c>
      <c r="R13" s="27">
        <v>124</v>
      </c>
      <c r="S13" s="249">
        <v>211</v>
      </c>
      <c r="T13" s="31">
        <v>0.58767772511848337</v>
      </c>
      <c r="U13" s="39"/>
      <c r="V13" s="27">
        <v>2008</v>
      </c>
      <c r="W13" s="27" t="s">
        <v>57</v>
      </c>
      <c r="X13" s="30" t="s">
        <v>35</v>
      </c>
      <c r="Y13" s="252"/>
      <c r="Z13" s="252" t="s">
        <v>226</v>
      </c>
      <c r="AA13" s="252" t="s">
        <v>182</v>
      </c>
      <c r="AB13" s="252"/>
      <c r="AC13" s="27" t="s">
        <v>60</v>
      </c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7">
        <v>2009</v>
      </c>
      <c r="C14" s="27" t="s">
        <v>41</v>
      </c>
      <c r="D14" s="30" t="s">
        <v>35</v>
      </c>
      <c r="E14" s="73">
        <v>24</v>
      </c>
      <c r="F14" s="27">
        <v>8</v>
      </c>
      <c r="G14" s="27">
        <v>28</v>
      </c>
      <c r="H14" s="46">
        <v>0.28570000000000001</v>
      </c>
      <c r="I14" s="27">
        <v>53</v>
      </c>
      <c r="J14" s="27">
        <v>83</v>
      </c>
      <c r="K14" s="46">
        <v>0.63849999999999996</v>
      </c>
      <c r="L14" s="27">
        <v>77</v>
      </c>
      <c r="M14" s="27">
        <v>93</v>
      </c>
      <c r="N14" s="46">
        <v>0.82789999999999997</v>
      </c>
      <c r="O14" s="27">
        <v>18</v>
      </c>
      <c r="P14" s="27">
        <v>36</v>
      </c>
      <c r="Q14" s="46">
        <v>0.5</v>
      </c>
      <c r="R14" s="27">
        <v>156</v>
      </c>
      <c r="S14" s="249">
        <v>240</v>
      </c>
      <c r="T14" s="31">
        <v>0.65</v>
      </c>
      <c r="U14" s="39"/>
      <c r="V14" s="27">
        <v>2009</v>
      </c>
      <c r="W14" s="27" t="s">
        <v>41</v>
      </c>
      <c r="X14" s="30" t="s">
        <v>35</v>
      </c>
      <c r="Y14" s="252"/>
      <c r="Z14" s="252" t="s">
        <v>60</v>
      </c>
      <c r="AA14" s="252" t="s">
        <v>40</v>
      </c>
      <c r="AB14" s="252" t="s">
        <v>225</v>
      </c>
      <c r="AC14" s="27" t="s">
        <v>40</v>
      </c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7">
        <v>2010</v>
      </c>
      <c r="C15" s="27" t="s">
        <v>38</v>
      </c>
      <c r="D15" s="30" t="s">
        <v>35</v>
      </c>
      <c r="E15" s="73">
        <v>26</v>
      </c>
      <c r="F15" s="27">
        <v>11</v>
      </c>
      <c r="G15" s="27">
        <v>36</v>
      </c>
      <c r="H15" s="46">
        <v>0.30549999999999999</v>
      </c>
      <c r="I15" s="27">
        <v>59</v>
      </c>
      <c r="J15" s="27">
        <v>88</v>
      </c>
      <c r="K15" s="46">
        <v>0.6704</v>
      </c>
      <c r="L15" s="27">
        <v>75</v>
      </c>
      <c r="M15" s="27">
        <v>98</v>
      </c>
      <c r="N15" s="46">
        <v>0.76529999999999998</v>
      </c>
      <c r="O15" s="27">
        <v>14</v>
      </c>
      <c r="P15" s="27">
        <v>19</v>
      </c>
      <c r="Q15" s="46">
        <v>0.73680000000000001</v>
      </c>
      <c r="R15" s="27">
        <v>159</v>
      </c>
      <c r="S15" s="249">
        <v>241</v>
      </c>
      <c r="T15" s="31">
        <v>0.65975103734439833</v>
      </c>
      <c r="U15" s="39"/>
      <c r="V15" s="27">
        <v>2010</v>
      </c>
      <c r="W15" s="27" t="s">
        <v>38</v>
      </c>
      <c r="X15" s="30" t="s">
        <v>35</v>
      </c>
      <c r="Y15" s="252"/>
      <c r="Z15" s="252" t="s">
        <v>350</v>
      </c>
      <c r="AA15" s="252" t="s">
        <v>36</v>
      </c>
      <c r="AB15" s="252"/>
      <c r="AC15" s="27" t="s">
        <v>36</v>
      </c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7">
        <v>2011</v>
      </c>
      <c r="C16" s="27" t="s">
        <v>39</v>
      </c>
      <c r="D16" s="30" t="s">
        <v>35</v>
      </c>
      <c r="E16" s="73">
        <v>26</v>
      </c>
      <c r="F16" s="27">
        <v>14</v>
      </c>
      <c r="G16" s="27">
        <v>37</v>
      </c>
      <c r="H16" s="46">
        <v>0.37830000000000003</v>
      </c>
      <c r="I16" s="27">
        <v>28</v>
      </c>
      <c r="J16" s="27">
        <v>53</v>
      </c>
      <c r="K16" s="46">
        <v>0.52829999999999999</v>
      </c>
      <c r="L16" s="27">
        <v>55</v>
      </c>
      <c r="M16" s="27">
        <v>73</v>
      </c>
      <c r="N16" s="46">
        <v>0.75339999999999996</v>
      </c>
      <c r="O16" s="27">
        <v>55</v>
      </c>
      <c r="P16" s="27">
        <v>83</v>
      </c>
      <c r="Q16" s="46">
        <v>0.66259999999999997</v>
      </c>
      <c r="R16" s="27">
        <v>152</v>
      </c>
      <c r="S16" s="249">
        <v>246</v>
      </c>
      <c r="T16" s="31">
        <v>0.61788617886178865</v>
      </c>
      <c r="U16" s="39"/>
      <c r="V16" s="27">
        <v>2011</v>
      </c>
      <c r="W16" s="27" t="s">
        <v>39</v>
      </c>
      <c r="X16" s="30" t="s">
        <v>35</v>
      </c>
      <c r="Y16" s="252"/>
      <c r="Z16" s="252"/>
      <c r="AA16" s="252" t="s">
        <v>50</v>
      </c>
      <c r="AB16" s="252" t="s">
        <v>39</v>
      </c>
      <c r="AC16" s="27" t="s">
        <v>39</v>
      </c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7">
        <v>2012</v>
      </c>
      <c r="C17" s="27" t="s">
        <v>36</v>
      </c>
      <c r="D17" s="30" t="s">
        <v>35</v>
      </c>
      <c r="E17" s="73">
        <v>26</v>
      </c>
      <c r="F17" s="27">
        <v>17</v>
      </c>
      <c r="G17" s="27">
        <v>26</v>
      </c>
      <c r="H17" s="46">
        <v>0.65380000000000005</v>
      </c>
      <c r="I17" s="27">
        <v>38</v>
      </c>
      <c r="J17" s="27">
        <v>51</v>
      </c>
      <c r="K17" s="46">
        <v>0.745</v>
      </c>
      <c r="L17" s="27">
        <v>88</v>
      </c>
      <c r="M17" s="27">
        <v>103</v>
      </c>
      <c r="N17" s="46">
        <v>0.85429999999999995</v>
      </c>
      <c r="O17" s="27">
        <v>71</v>
      </c>
      <c r="P17" s="27">
        <v>96</v>
      </c>
      <c r="Q17" s="46">
        <v>0.73950000000000005</v>
      </c>
      <c r="R17" s="27">
        <v>214</v>
      </c>
      <c r="S17" s="249">
        <v>276</v>
      </c>
      <c r="T17" s="31">
        <v>0.77536231884057971</v>
      </c>
      <c r="U17" s="39"/>
      <c r="V17" s="27">
        <v>2012</v>
      </c>
      <c r="W17" s="27" t="s">
        <v>36</v>
      </c>
      <c r="X17" s="30" t="s">
        <v>35</v>
      </c>
      <c r="Y17" s="252"/>
      <c r="Z17" s="252" t="s">
        <v>220</v>
      </c>
      <c r="AA17" s="252" t="s">
        <v>40</v>
      </c>
      <c r="AB17" s="252" t="s">
        <v>34</v>
      </c>
      <c r="AC17" s="27" t="s">
        <v>40</v>
      </c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27">
        <v>2013</v>
      </c>
      <c r="C18" s="27" t="s">
        <v>38</v>
      </c>
      <c r="D18" s="30" t="s">
        <v>35</v>
      </c>
      <c r="E18" s="73">
        <v>26</v>
      </c>
      <c r="F18" s="27">
        <v>14</v>
      </c>
      <c r="G18" s="27">
        <v>28</v>
      </c>
      <c r="H18" s="46">
        <v>0.5</v>
      </c>
      <c r="I18" s="27">
        <v>35</v>
      </c>
      <c r="J18" s="27">
        <v>56</v>
      </c>
      <c r="K18" s="46">
        <v>0.625</v>
      </c>
      <c r="L18" s="27">
        <v>94</v>
      </c>
      <c r="M18" s="27">
        <v>110</v>
      </c>
      <c r="N18" s="46">
        <v>0.85450000000000004</v>
      </c>
      <c r="O18" s="27">
        <v>46</v>
      </c>
      <c r="P18" s="27">
        <v>71</v>
      </c>
      <c r="Q18" s="46">
        <v>0.64780000000000004</v>
      </c>
      <c r="R18" s="27">
        <v>189</v>
      </c>
      <c r="S18" s="249">
        <v>265</v>
      </c>
      <c r="T18" s="31">
        <v>0.71320754716981127</v>
      </c>
      <c r="U18" s="39"/>
      <c r="V18" s="27">
        <v>2013</v>
      </c>
      <c r="W18" s="27" t="s">
        <v>38</v>
      </c>
      <c r="X18" s="30" t="s">
        <v>35</v>
      </c>
      <c r="Y18" s="252"/>
      <c r="Z18" s="252"/>
      <c r="AA18" s="252" t="s">
        <v>40</v>
      </c>
      <c r="AB18" s="252" t="s">
        <v>228</v>
      </c>
      <c r="AC18" s="27" t="s">
        <v>34</v>
      </c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2"/>
      <c r="B19" s="27">
        <v>2014</v>
      </c>
      <c r="C19" s="27" t="s">
        <v>38</v>
      </c>
      <c r="D19" s="30" t="s">
        <v>35</v>
      </c>
      <c r="E19" s="73">
        <v>30</v>
      </c>
      <c r="F19" s="27">
        <v>7</v>
      </c>
      <c r="G19" s="27">
        <v>21</v>
      </c>
      <c r="H19" s="46">
        <v>0.33329999999999999</v>
      </c>
      <c r="I19" s="27">
        <v>29</v>
      </c>
      <c r="J19" s="27">
        <v>49</v>
      </c>
      <c r="K19" s="46">
        <v>0.59179999999999999</v>
      </c>
      <c r="L19" s="27">
        <v>83</v>
      </c>
      <c r="M19" s="27">
        <v>98</v>
      </c>
      <c r="N19" s="46">
        <v>0.84689999999999999</v>
      </c>
      <c r="O19" s="27">
        <v>91</v>
      </c>
      <c r="P19" s="27">
        <v>139</v>
      </c>
      <c r="Q19" s="46">
        <v>0.65459999999999996</v>
      </c>
      <c r="R19" s="27">
        <v>210</v>
      </c>
      <c r="S19" s="249">
        <v>307</v>
      </c>
      <c r="T19" s="31">
        <v>0.68403908794788271</v>
      </c>
      <c r="U19" s="39"/>
      <c r="V19" s="27">
        <v>2014</v>
      </c>
      <c r="W19" s="27" t="s">
        <v>38</v>
      </c>
      <c r="X19" s="30" t="s">
        <v>35</v>
      </c>
      <c r="Y19" s="252"/>
      <c r="Z19" s="252"/>
      <c r="AA19" s="252" t="s">
        <v>37</v>
      </c>
      <c r="AB19" s="252" t="s">
        <v>38</v>
      </c>
      <c r="AC19" s="27" t="s">
        <v>40</v>
      </c>
      <c r="AD19" s="40"/>
      <c r="AE19" s="40"/>
      <c r="AF19" s="40"/>
      <c r="AG19" s="40"/>
      <c r="AH19" s="40"/>
      <c r="AI19" s="40"/>
      <c r="AJ19" s="40"/>
    </row>
    <row r="20" spans="1:36" s="3" customFormat="1" ht="15.6" customHeight="1" x14ac:dyDescent="0.25">
      <c r="A20" s="2"/>
      <c r="B20" s="27">
        <v>2015</v>
      </c>
      <c r="C20" s="27" t="s">
        <v>39</v>
      </c>
      <c r="D20" s="30" t="s">
        <v>35</v>
      </c>
      <c r="E20" s="73">
        <v>28</v>
      </c>
      <c r="F20" s="27">
        <v>10</v>
      </c>
      <c r="G20" s="27">
        <v>27</v>
      </c>
      <c r="H20" s="46">
        <v>0.37030000000000002</v>
      </c>
      <c r="I20" s="27">
        <v>32</v>
      </c>
      <c r="J20" s="27">
        <v>45</v>
      </c>
      <c r="K20" s="46">
        <v>0.71109999999999995</v>
      </c>
      <c r="L20" s="27">
        <v>64</v>
      </c>
      <c r="M20" s="27">
        <v>93</v>
      </c>
      <c r="N20" s="46">
        <v>0.68810000000000004</v>
      </c>
      <c r="O20" s="27">
        <v>42</v>
      </c>
      <c r="P20" s="27">
        <v>96</v>
      </c>
      <c r="Q20" s="46">
        <v>0.4375</v>
      </c>
      <c r="R20" s="27">
        <v>148</v>
      </c>
      <c r="S20" s="249">
        <v>261</v>
      </c>
      <c r="T20" s="31">
        <v>0.56704980842911878</v>
      </c>
      <c r="U20" s="39"/>
      <c r="V20" s="27">
        <v>2015</v>
      </c>
      <c r="W20" s="27" t="s">
        <v>39</v>
      </c>
      <c r="X20" s="30" t="s">
        <v>35</v>
      </c>
      <c r="Y20" s="252"/>
      <c r="Z20" s="252"/>
      <c r="AA20" s="252" t="s">
        <v>350</v>
      </c>
      <c r="AB20" s="252" t="s">
        <v>230</v>
      </c>
      <c r="AC20" s="27" t="s">
        <v>223</v>
      </c>
      <c r="AD20" s="40"/>
      <c r="AE20" s="40"/>
      <c r="AF20" s="40"/>
      <c r="AG20" s="40"/>
      <c r="AH20" s="40"/>
      <c r="AI20" s="40"/>
      <c r="AJ20" s="40"/>
    </row>
    <row r="21" spans="1:36" s="3" customFormat="1" ht="15.6" customHeight="1" x14ac:dyDescent="0.25">
      <c r="A21" s="2"/>
      <c r="B21" s="27">
        <v>2016</v>
      </c>
      <c r="C21" s="27" t="s">
        <v>39</v>
      </c>
      <c r="D21" s="30" t="s">
        <v>35</v>
      </c>
      <c r="E21" s="73">
        <v>27</v>
      </c>
      <c r="F21" s="27">
        <v>3</v>
      </c>
      <c r="G21" s="27">
        <v>5</v>
      </c>
      <c r="H21" s="46">
        <v>0.6</v>
      </c>
      <c r="I21" s="27">
        <v>18</v>
      </c>
      <c r="J21" s="27">
        <v>32</v>
      </c>
      <c r="K21" s="46">
        <v>0.5625</v>
      </c>
      <c r="L21" s="27">
        <v>63</v>
      </c>
      <c r="M21" s="27">
        <v>79</v>
      </c>
      <c r="N21" s="46">
        <v>0.7974</v>
      </c>
      <c r="O21" s="27">
        <v>80</v>
      </c>
      <c r="P21" s="27">
        <v>150</v>
      </c>
      <c r="Q21" s="46">
        <v>0.5333</v>
      </c>
      <c r="R21" s="27">
        <v>164</v>
      </c>
      <c r="S21" s="249">
        <v>266</v>
      </c>
      <c r="T21" s="31">
        <v>0.61654135338345861</v>
      </c>
      <c r="U21" s="39"/>
      <c r="V21" s="27">
        <v>2016</v>
      </c>
      <c r="W21" s="27" t="s">
        <v>39</v>
      </c>
      <c r="X21" s="30" t="s">
        <v>35</v>
      </c>
      <c r="Y21" s="252"/>
      <c r="Z21" s="252"/>
      <c r="AA21" s="252" t="s">
        <v>182</v>
      </c>
      <c r="AB21" s="252" t="s">
        <v>57</v>
      </c>
      <c r="AC21" s="27" t="s">
        <v>228</v>
      </c>
      <c r="AD21" s="40"/>
      <c r="AE21" s="40"/>
      <c r="AF21" s="40"/>
      <c r="AG21" s="40"/>
      <c r="AH21" s="40"/>
      <c r="AI21" s="40"/>
      <c r="AJ21" s="40"/>
    </row>
    <row r="22" spans="1:36" s="3" customFormat="1" ht="15.6" customHeight="1" x14ac:dyDescent="0.25">
      <c r="A22" s="2"/>
      <c r="B22" s="27">
        <v>2017</v>
      </c>
      <c r="C22" s="27" t="s">
        <v>37</v>
      </c>
      <c r="D22" s="30" t="s">
        <v>212</v>
      </c>
      <c r="E22" s="73">
        <v>32</v>
      </c>
      <c r="F22" s="27">
        <v>0</v>
      </c>
      <c r="G22" s="27">
        <v>2</v>
      </c>
      <c r="H22" s="46">
        <v>0</v>
      </c>
      <c r="I22" s="27">
        <v>9</v>
      </c>
      <c r="J22" s="27">
        <v>21</v>
      </c>
      <c r="K22" s="46">
        <v>0.42849999999999999</v>
      </c>
      <c r="L22" s="27">
        <v>32</v>
      </c>
      <c r="M22" s="27">
        <v>62</v>
      </c>
      <c r="N22" s="46">
        <v>0.5161</v>
      </c>
      <c r="O22" s="27">
        <v>77</v>
      </c>
      <c r="P22" s="27">
        <v>191</v>
      </c>
      <c r="Q22" s="46">
        <v>0.40310000000000001</v>
      </c>
      <c r="R22" s="27">
        <v>118</v>
      </c>
      <c r="S22" s="249">
        <v>276</v>
      </c>
      <c r="T22" s="31">
        <v>0.42753623188405798</v>
      </c>
      <c r="U22" s="39"/>
      <c r="V22" s="27">
        <v>2017</v>
      </c>
      <c r="W22" s="27" t="s">
        <v>37</v>
      </c>
      <c r="X22" s="30" t="s">
        <v>212</v>
      </c>
      <c r="Y22" s="252"/>
      <c r="Z22" s="252"/>
      <c r="AA22" s="252"/>
      <c r="AB22" s="252" t="s">
        <v>41</v>
      </c>
      <c r="AC22" s="27"/>
      <c r="AD22" s="40"/>
      <c r="AE22" s="40"/>
      <c r="AF22" s="40"/>
      <c r="AG22" s="40"/>
      <c r="AH22" s="40"/>
      <c r="AI22" s="40"/>
      <c r="AJ22" s="40"/>
    </row>
    <row r="23" spans="1:36" s="3" customFormat="1" ht="15.6" customHeight="1" x14ac:dyDescent="0.25">
      <c r="A23" s="2"/>
      <c r="B23" s="27">
        <v>2018</v>
      </c>
      <c r="C23" s="27" t="s">
        <v>40</v>
      </c>
      <c r="D23" s="30" t="s">
        <v>212</v>
      </c>
      <c r="E23" s="73">
        <v>32</v>
      </c>
      <c r="F23" s="27">
        <v>1</v>
      </c>
      <c r="G23" s="27">
        <v>6</v>
      </c>
      <c r="H23" s="46">
        <v>0.1666</v>
      </c>
      <c r="I23" s="27">
        <v>7</v>
      </c>
      <c r="J23" s="27">
        <v>13</v>
      </c>
      <c r="K23" s="46">
        <v>0.53839999999999999</v>
      </c>
      <c r="L23" s="27">
        <v>59</v>
      </c>
      <c r="M23" s="27">
        <v>80</v>
      </c>
      <c r="N23" s="46">
        <v>0.73750000000000004</v>
      </c>
      <c r="O23" s="27">
        <v>131</v>
      </c>
      <c r="P23" s="27">
        <v>225</v>
      </c>
      <c r="Q23" s="46">
        <v>0.58220000000000005</v>
      </c>
      <c r="R23" s="27">
        <v>195</v>
      </c>
      <c r="S23" s="249">
        <v>321</v>
      </c>
      <c r="T23" s="46">
        <v>0.60740000000000005</v>
      </c>
      <c r="U23" s="39"/>
      <c r="V23" s="27">
        <v>2018</v>
      </c>
      <c r="W23" s="27" t="s">
        <v>40</v>
      </c>
      <c r="X23" s="30" t="s">
        <v>212</v>
      </c>
      <c r="Y23" s="252"/>
      <c r="Z23" s="252"/>
      <c r="AA23" s="252" t="s">
        <v>227</v>
      </c>
      <c r="AB23" s="252" t="s">
        <v>34</v>
      </c>
      <c r="AC23" s="27" t="s">
        <v>41</v>
      </c>
      <c r="AD23" s="40"/>
      <c r="AE23" s="40"/>
      <c r="AF23" s="40"/>
      <c r="AG23" s="40"/>
      <c r="AH23" s="40"/>
      <c r="AI23" s="40"/>
      <c r="AJ23" s="40"/>
    </row>
    <row r="24" spans="1:36" s="3" customFormat="1" ht="15.6" customHeight="1" x14ac:dyDescent="0.25">
      <c r="A24" s="2"/>
      <c r="B24" s="27">
        <v>2019</v>
      </c>
      <c r="C24" s="27" t="s">
        <v>38</v>
      </c>
      <c r="D24" s="30" t="s">
        <v>35</v>
      </c>
      <c r="E24" s="73">
        <v>30</v>
      </c>
      <c r="F24" s="27">
        <v>1</v>
      </c>
      <c r="G24" s="27">
        <v>4</v>
      </c>
      <c r="H24" s="46">
        <v>0.25</v>
      </c>
      <c r="I24" s="27">
        <v>9</v>
      </c>
      <c r="J24" s="27">
        <v>26</v>
      </c>
      <c r="K24" s="46">
        <v>0.34610000000000002</v>
      </c>
      <c r="L24" s="27">
        <v>47</v>
      </c>
      <c r="M24" s="27">
        <v>64</v>
      </c>
      <c r="N24" s="46">
        <v>0.73429999999999995</v>
      </c>
      <c r="O24" s="27">
        <v>111</v>
      </c>
      <c r="P24" s="27">
        <v>218</v>
      </c>
      <c r="Q24" s="46">
        <v>0.5091</v>
      </c>
      <c r="R24" s="27">
        <v>168</v>
      </c>
      <c r="S24" s="249">
        <v>312</v>
      </c>
      <c r="T24" s="31">
        <v>0.53846153846153844</v>
      </c>
      <c r="U24" s="39"/>
      <c r="V24" s="27">
        <v>2019</v>
      </c>
      <c r="W24" s="27" t="s">
        <v>38</v>
      </c>
      <c r="X24" s="30" t="s">
        <v>35</v>
      </c>
      <c r="Y24" s="252"/>
      <c r="Z24" s="252"/>
      <c r="AA24" s="252" t="s">
        <v>224</v>
      </c>
      <c r="AB24" s="252" t="s">
        <v>34</v>
      </c>
      <c r="AC24" s="27" t="s">
        <v>50</v>
      </c>
      <c r="AD24" s="40"/>
      <c r="AE24" s="40"/>
      <c r="AF24" s="40"/>
      <c r="AG24" s="40"/>
      <c r="AH24" s="40"/>
      <c r="AI24" s="40"/>
      <c r="AJ24" s="40"/>
    </row>
    <row r="25" spans="1:36" s="3" customFormat="1" ht="15.6" customHeight="1" x14ac:dyDescent="0.25">
      <c r="A25" s="2"/>
      <c r="B25" s="27">
        <v>2020</v>
      </c>
      <c r="C25" s="27" t="s">
        <v>57</v>
      </c>
      <c r="D25" s="30" t="s">
        <v>35</v>
      </c>
      <c r="E25" s="73">
        <v>20</v>
      </c>
      <c r="F25" s="27">
        <v>1</v>
      </c>
      <c r="G25" s="27">
        <v>2</v>
      </c>
      <c r="H25" s="46">
        <v>0.5</v>
      </c>
      <c r="I25" s="27">
        <v>5</v>
      </c>
      <c r="J25" s="27">
        <v>13</v>
      </c>
      <c r="K25" s="46">
        <v>0.3846</v>
      </c>
      <c r="L25" s="27">
        <v>25</v>
      </c>
      <c r="M25" s="27">
        <v>40</v>
      </c>
      <c r="N25" s="46">
        <v>0.625</v>
      </c>
      <c r="O25" s="27">
        <v>59</v>
      </c>
      <c r="P25" s="27">
        <v>128</v>
      </c>
      <c r="Q25" s="46">
        <v>0.46089999999999998</v>
      </c>
      <c r="R25" s="27">
        <v>90</v>
      </c>
      <c r="S25" s="249">
        <v>183</v>
      </c>
      <c r="T25" s="31">
        <v>0.49180327868852458</v>
      </c>
      <c r="U25" s="39"/>
      <c r="V25" s="27">
        <v>2020</v>
      </c>
      <c r="W25" s="27" t="s">
        <v>57</v>
      </c>
      <c r="X25" s="30" t="s">
        <v>35</v>
      </c>
      <c r="Y25" s="252"/>
      <c r="Z25" s="252"/>
      <c r="AA25" s="252"/>
      <c r="AB25" s="252" t="s">
        <v>57</v>
      </c>
      <c r="AC25" s="27"/>
      <c r="AD25" s="40"/>
      <c r="AE25" s="40"/>
      <c r="AF25" s="40"/>
      <c r="AG25" s="40"/>
      <c r="AH25" s="40"/>
      <c r="AI25" s="40"/>
      <c r="AJ25" s="40"/>
    </row>
    <row r="26" spans="1:36" s="3" customFormat="1" ht="15.6" customHeight="1" x14ac:dyDescent="0.25">
      <c r="A26" s="2"/>
      <c r="B26" s="27">
        <v>2021</v>
      </c>
      <c r="C26" s="27" t="s">
        <v>182</v>
      </c>
      <c r="D26" s="29" t="s">
        <v>35</v>
      </c>
      <c r="E26" s="73">
        <v>27</v>
      </c>
      <c r="F26" s="246">
        <v>1</v>
      </c>
      <c r="G26" s="246">
        <v>3</v>
      </c>
      <c r="H26" s="247">
        <f t="shared" ref="H26" si="1">PRODUCT(F26/G26)</f>
        <v>0.33333333333333331</v>
      </c>
      <c r="I26" s="246">
        <v>11</v>
      </c>
      <c r="J26" s="246">
        <v>20</v>
      </c>
      <c r="K26" s="247">
        <f t="shared" ref="K26" si="2">PRODUCT(I26/J26)</f>
        <v>0.55000000000000004</v>
      </c>
      <c r="L26" s="246">
        <v>30</v>
      </c>
      <c r="M26" s="246">
        <v>56</v>
      </c>
      <c r="N26" s="247">
        <f t="shared" ref="N26" si="3">PRODUCT(L26/M26)</f>
        <v>0.5357142857142857</v>
      </c>
      <c r="O26" s="246">
        <v>77</v>
      </c>
      <c r="P26" s="246">
        <v>144</v>
      </c>
      <c r="Q26" s="247">
        <f t="shared" ref="Q26" si="4">PRODUCT(O26/P26)</f>
        <v>0.53472222222222221</v>
      </c>
      <c r="R26" s="27">
        <v>119</v>
      </c>
      <c r="S26" s="248">
        <v>223</v>
      </c>
      <c r="T26" s="247">
        <f t="shared" ref="T26" si="5">PRODUCT(R26/S26)</f>
        <v>0.53363228699551568</v>
      </c>
      <c r="U26" s="39"/>
      <c r="V26" s="27">
        <v>2021</v>
      </c>
      <c r="W26" s="27" t="s">
        <v>182</v>
      </c>
      <c r="X26" s="29" t="s">
        <v>35</v>
      </c>
      <c r="Y26" s="252"/>
      <c r="Z26" s="252"/>
      <c r="AA26" s="252"/>
      <c r="AB26" s="252" t="s">
        <v>38</v>
      </c>
      <c r="AC26" s="27"/>
      <c r="AD26" s="40"/>
      <c r="AE26" s="40"/>
      <c r="AF26" s="40"/>
      <c r="AG26" s="40"/>
      <c r="AH26" s="40"/>
      <c r="AI26" s="40"/>
      <c r="AJ26" s="40"/>
    </row>
    <row r="27" spans="1:36" s="3" customFormat="1" ht="15.6" customHeight="1" x14ac:dyDescent="0.25">
      <c r="A27" s="2"/>
      <c r="B27" s="27">
        <v>2022</v>
      </c>
      <c r="C27" s="27" t="s">
        <v>38</v>
      </c>
      <c r="D27" s="29" t="s">
        <v>35</v>
      </c>
      <c r="E27" s="73">
        <v>28</v>
      </c>
      <c r="F27" s="246">
        <v>1</v>
      </c>
      <c r="G27" s="246">
        <v>6</v>
      </c>
      <c r="H27" s="247">
        <f>PRODUCT(F27/G27)</f>
        <v>0.16666666666666666</v>
      </c>
      <c r="I27" s="246">
        <v>15</v>
      </c>
      <c r="J27" s="246">
        <v>26</v>
      </c>
      <c r="K27" s="247">
        <f>PRODUCT(I27/J27)</f>
        <v>0.57692307692307687</v>
      </c>
      <c r="L27" s="246">
        <v>35</v>
      </c>
      <c r="M27" s="246">
        <v>69</v>
      </c>
      <c r="N27" s="247">
        <f>PRODUCT(L27/M27)</f>
        <v>0.50724637681159424</v>
      </c>
      <c r="O27" s="246">
        <v>49</v>
      </c>
      <c r="P27" s="246">
        <v>99</v>
      </c>
      <c r="Q27" s="247">
        <f>PRODUCT(O27/P27)</f>
        <v>0.49494949494949497</v>
      </c>
      <c r="R27" s="27">
        <v>100</v>
      </c>
      <c r="S27" s="248">
        <v>200</v>
      </c>
      <c r="T27" s="247">
        <f>PRODUCT(R27/S27)</f>
        <v>0.5</v>
      </c>
      <c r="U27" s="39"/>
      <c r="V27" s="27">
        <v>2022</v>
      </c>
      <c r="W27" s="27" t="s">
        <v>38</v>
      </c>
      <c r="X27" s="29" t="s">
        <v>35</v>
      </c>
      <c r="Y27" s="252"/>
      <c r="Z27" s="252"/>
      <c r="AA27" s="252" t="s">
        <v>368</v>
      </c>
      <c r="AB27" s="252" t="s">
        <v>230</v>
      </c>
      <c r="AC27" s="27"/>
      <c r="AD27" s="40"/>
      <c r="AE27" s="40"/>
      <c r="AF27" s="40"/>
      <c r="AG27" s="40"/>
      <c r="AH27" s="40"/>
      <c r="AI27" s="40"/>
      <c r="AJ27" s="40"/>
    </row>
    <row r="28" spans="1:36" s="3" customFormat="1" ht="15.6" customHeight="1" x14ac:dyDescent="0.25">
      <c r="A28" s="2"/>
      <c r="B28" s="27">
        <v>2023</v>
      </c>
      <c r="C28" s="27" t="s">
        <v>39</v>
      </c>
      <c r="D28" s="30" t="s">
        <v>35</v>
      </c>
      <c r="E28" s="17">
        <v>28</v>
      </c>
      <c r="F28" s="27">
        <v>1</v>
      </c>
      <c r="G28" s="27">
        <v>4</v>
      </c>
      <c r="H28" s="46">
        <v>0.25</v>
      </c>
      <c r="I28" s="27">
        <v>17</v>
      </c>
      <c r="J28" s="27">
        <v>24</v>
      </c>
      <c r="K28" s="46">
        <v>0.70830000000000004</v>
      </c>
      <c r="L28" s="27">
        <v>57</v>
      </c>
      <c r="M28" s="27">
        <v>86</v>
      </c>
      <c r="N28" s="46">
        <v>0.66279999999999994</v>
      </c>
      <c r="O28" s="27">
        <v>42</v>
      </c>
      <c r="P28" s="27">
        <v>84</v>
      </c>
      <c r="Q28" s="46">
        <v>0.5</v>
      </c>
      <c r="R28" s="27">
        <v>117</v>
      </c>
      <c r="S28" s="249">
        <v>198</v>
      </c>
      <c r="T28" s="31">
        <v>0.59089999999999998</v>
      </c>
      <c r="U28" s="39"/>
      <c r="V28" s="27">
        <v>2023</v>
      </c>
      <c r="W28" s="27" t="s">
        <v>39</v>
      </c>
      <c r="X28" s="30" t="s">
        <v>35</v>
      </c>
      <c r="Y28" s="252"/>
      <c r="Z28" s="252"/>
      <c r="AA28" s="252" t="s">
        <v>182</v>
      </c>
      <c r="AB28" s="252" t="s">
        <v>232</v>
      </c>
      <c r="AC28" s="27"/>
      <c r="AD28" s="40"/>
      <c r="AE28" s="40"/>
      <c r="AF28" s="40"/>
      <c r="AG28" s="40"/>
      <c r="AH28" s="40"/>
      <c r="AI28" s="40"/>
      <c r="AJ28" s="40"/>
    </row>
    <row r="29" spans="1:36" s="3" customFormat="1" ht="15.6" customHeight="1" x14ac:dyDescent="0.25">
      <c r="A29" s="2"/>
      <c r="B29" s="15" t="s">
        <v>7</v>
      </c>
      <c r="C29" s="16"/>
      <c r="D29" s="14"/>
      <c r="E29" s="14">
        <f>SUM(E4:E28)</f>
        <v>672</v>
      </c>
      <c r="F29" s="17">
        <f t="shared" ref="F29:S29" si="6">SUM(F4:F28)</f>
        <v>188</v>
      </c>
      <c r="G29" s="17">
        <f t="shared" si="6"/>
        <v>448</v>
      </c>
      <c r="H29" s="158">
        <f>PRODUCT(F29/G29)</f>
        <v>0.41964285714285715</v>
      </c>
      <c r="I29" s="17">
        <f t="shared" si="6"/>
        <v>680</v>
      </c>
      <c r="J29" s="17">
        <f t="shared" si="6"/>
        <v>1126</v>
      </c>
      <c r="K29" s="158">
        <f>PRODUCT(I29/J29)</f>
        <v>0.60390763765541744</v>
      </c>
      <c r="L29" s="17">
        <f t="shared" si="6"/>
        <v>1410</v>
      </c>
      <c r="M29" s="17">
        <f t="shared" si="6"/>
        <v>1934</v>
      </c>
      <c r="N29" s="158">
        <f>PRODUCT(L29/M29)</f>
        <v>0.72905894519131331</v>
      </c>
      <c r="O29" s="17">
        <f t="shared" si="6"/>
        <v>1303</v>
      </c>
      <c r="P29" s="17">
        <f t="shared" si="6"/>
        <v>2408</v>
      </c>
      <c r="Q29" s="158">
        <f>PRODUCT(O29/P29)</f>
        <v>0.54111295681063121</v>
      </c>
      <c r="R29" s="17">
        <f t="shared" si="6"/>
        <v>3578</v>
      </c>
      <c r="S29" s="17">
        <f t="shared" si="6"/>
        <v>5913</v>
      </c>
      <c r="T29" s="158">
        <f>PRODUCT(R29/S29)</f>
        <v>0.60510739049551832</v>
      </c>
      <c r="U29" s="39"/>
      <c r="V29" s="16"/>
      <c r="W29" s="13"/>
      <c r="X29" s="56"/>
      <c r="Y29" s="13"/>
      <c r="Z29" s="13"/>
      <c r="AA29" s="13"/>
      <c r="AB29" s="13"/>
      <c r="AC29" s="14"/>
      <c r="AD29" s="40"/>
      <c r="AE29" s="40"/>
      <c r="AF29" s="40"/>
      <c r="AG29" s="40"/>
      <c r="AH29" s="40"/>
      <c r="AI29" s="40"/>
      <c r="AJ29" s="40"/>
    </row>
    <row r="30" spans="1:36" s="3" customFormat="1" ht="15.6" customHeight="1" x14ac:dyDescent="0.25">
      <c r="A30" s="1"/>
      <c r="B30" s="40"/>
      <c r="C30" s="40"/>
      <c r="D30" s="40"/>
      <c r="E30" s="39"/>
      <c r="F30" s="40"/>
      <c r="G30" s="40"/>
      <c r="H30" s="250"/>
      <c r="I30" s="40"/>
      <c r="J30" s="40"/>
      <c r="K30" s="251"/>
      <c r="L30" s="40"/>
      <c r="M30" s="40"/>
      <c r="N30" s="40"/>
      <c r="O30" s="40"/>
      <c r="P30" s="40"/>
      <c r="Q30" s="40"/>
      <c r="R30" s="40"/>
      <c r="S30" s="40"/>
      <c r="T30" s="40"/>
      <c r="U30" s="39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2"/>
      <c r="B31" s="9" t="s">
        <v>503</v>
      </c>
      <c r="C31" s="10"/>
      <c r="D31" s="11"/>
      <c r="E31" s="10"/>
      <c r="F31" s="183"/>
      <c r="G31" s="79"/>
      <c r="H31" s="10"/>
      <c r="I31" s="183"/>
      <c r="J31" s="79"/>
      <c r="K31" s="10"/>
      <c r="L31" s="183"/>
      <c r="M31" s="79"/>
      <c r="N31" s="10"/>
      <c r="O31" s="183"/>
      <c r="P31" s="79"/>
      <c r="Q31" s="10"/>
      <c r="R31" s="183"/>
      <c r="S31" s="79"/>
      <c r="T31" s="32"/>
      <c r="U31" s="40"/>
      <c r="V31" s="9" t="s">
        <v>508</v>
      </c>
      <c r="W31" s="10"/>
      <c r="X31" s="11"/>
      <c r="Y31" s="79"/>
      <c r="Z31" s="79"/>
      <c r="AA31" s="79"/>
      <c r="AB31" s="79"/>
      <c r="AC31" s="243"/>
      <c r="AD31" s="40"/>
      <c r="AE31" s="40"/>
      <c r="AF31" s="40"/>
      <c r="AG31" s="40"/>
      <c r="AH31" s="40"/>
      <c r="AI31" s="40"/>
      <c r="AJ31" s="40"/>
    </row>
    <row r="32" spans="1:36" s="3" customFormat="1" ht="15.6" customHeight="1" x14ac:dyDescent="0.25">
      <c r="A32" s="2"/>
      <c r="B32" s="16"/>
      <c r="C32" s="13"/>
      <c r="D32" s="57"/>
      <c r="E32" s="220"/>
      <c r="F32" s="214"/>
      <c r="G32" s="220" t="s">
        <v>18</v>
      </c>
      <c r="H32" s="244"/>
      <c r="I32" s="214"/>
      <c r="J32" s="220" t="s">
        <v>19</v>
      </c>
      <c r="K32" s="245"/>
      <c r="L32" s="214"/>
      <c r="M32" s="220" t="s">
        <v>20</v>
      </c>
      <c r="N32" s="213"/>
      <c r="O32" s="214"/>
      <c r="P32" s="220" t="s">
        <v>21</v>
      </c>
      <c r="Q32" s="213"/>
      <c r="R32" s="214"/>
      <c r="S32" s="220" t="s">
        <v>7</v>
      </c>
      <c r="T32" s="213"/>
      <c r="U32" s="39"/>
      <c r="V32" s="16"/>
      <c r="W32" s="13"/>
      <c r="X32" s="56"/>
      <c r="Y32" s="13"/>
      <c r="Z32" s="13"/>
      <c r="AA32" s="13"/>
      <c r="AB32" s="13"/>
      <c r="AC32" s="14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16" t="s">
        <v>0</v>
      </c>
      <c r="C33" s="13" t="s">
        <v>4</v>
      </c>
      <c r="D33" s="57" t="s">
        <v>1</v>
      </c>
      <c r="E33" s="13" t="s">
        <v>3</v>
      </c>
      <c r="F33" s="16" t="s">
        <v>17</v>
      </c>
      <c r="G33" s="13" t="s">
        <v>501</v>
      </c>
      <c r="H33" s="155" t="s">
        <v>502</v>
      </c>
      <c r="I33" s="16" t="s">
        <v>17</v>
      </c>
      <c r="J33" s="13" t="s">
        <v>501</v>
      </c>
      <c r="K33" s="155" t="s">
        <v>502</v>
      </c>
      <c r="L33" s="16" t="s">
        <v>17</v>
      </c>
      <c r="M33" s="13" t="s">
        <v>501</v>
      </c>
      <c r="N33" s="155" t="s">
        <v>502</v>
      </c>
      <c r="O33" s="16" t="s">
        <v>17</v>
      </c>
      <c r="P33" s="13" t="s">
        <v>501</v>
      </c>
      <c r="Q33" s="155" t="s">
        <v>502</v>
      </c>
      <c r="R33" s="16" t="s">
        <v>17</v>
      </c>
      <c r="S33" s="13" t="s">
        <v>501</v>
      </c>
      <c r="T33" s="155" t="s">
        <v>502</v>
      </c>
      <c r="U33" s="39"/>
      <c r="V33" s="16" t="s">
        <v>0</v>
      </c>
      <c r="W33" s="13" t="s">
        <v>4</v>
      </c>
      <c r="X33" s="57" t="s">
        <v>1</v>
      </c>
      <c r="Y33" s="16" t="s">
        <v>18</v>
      </c>
      <c r="Z33" s="13" t="s">
        <v>19</v>
      </c>
      <c r="AA33" s="13" t="s">
        <v>20</v>
      </c>
      <c r="AB33" s="13" t="s">
        <v>21</v>
      </c>
      <c r="AC33" s="14" t="s">
        <v>17</v>
      </c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27">
        <v>1999</v>
      </c>
      <c r="C34" s="27" t="s">
        <v>34</v>
      </c>
      <c r="D34" s="30" t="s">
        <v>35</v>
      </c>
      <c r="E34" s="73">
        <v>10</v>
      </c>
      <c r="F34" s="27">
        <v>6</v>
      </c>
      <c r="G34" s="27">
        <v>17</v>
      </c>
      <c r="H34" s="46">
        <v>0.35289999999999999</v>
      </c>
      <c r="I34" s="27">
        <v>5</v>
      </c>
      <c r="J34" s="27">
        <v>18</v>
      </c>
      <c r="K34" s="46">
        <v>0.2777</v>
      </c>
      <c r="L34" s="27">
        <v>7</v>
      </c>
      <c r="M34" s="27">
        <v>10</v>
      </c>
      <c r="N34" s="46">
        <v>0.7</v>
      </c>
      <c r="O34" s="27">
        <v>2</v>
      </c>
      <c r="P34" s="27">
        <v>7</v>
      </c>
      <c r="Q34" s="46">
        <v>0.28570000000000001</v>
      </c>
      <c r="R34" s="27">
        <v>20</v>
      </c>
      <c r="S34" s="249">
        <v>52</v>
      </c>
      <c r="T34" s="31">
        <v>0.3846</v>
      </c>
      <c r="U34" s="40"/>
      <c r="V34" s="27">
        <v>1999</v>
      </c>
      <c r="W34" s="27" t="s">
        <v>34</v>
      </c>
      <c r="X34" s="30" t="s">
        <v>35</v>
      </c>
      <c r="Y34" s="252"/>
      <c r="Z34" s="252"/>
      <c r="AA34" s="252" t="s">
        <v>220</v>
      </c>
      <c r="AB34" s="252"/>
      <c r="AC34" s="27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27">
        <v>2000</v>
      </c>
      <c r="C35" s="27" t="s">
        <v>36</v>
      </c>
      <c r="D35" s="30" t="s">
        <v>35</v>
      </c>
      <c r="E35" s="73">
        <v>10</v>
      </c>
      <c r="F35" s="27">
        <v>9</v>
      </c>
      <c r="G35" s="27">
        <v>13</v>
      </c>
      <c r="H35" s="31">
        <v>0.69230000000000003</v>
      </c>
      <c r="I35" s="27">
        <v>10</v>
      </c>
      <c r="J35" s="27">
        <v>17</v>
      </c>
      <c r="K35" s="31">
        <v>0.58819999999999995</v>
      </c>
      <c r="L35" s="27">
        <v>10</v>
      </c>
      <c r="M35" s="27">
        <v>15</v>
      </c>
      <c r="N35" s="31">
        <v>0.66659999999999997</v>
      </c>
      <c r="O35" s="27">
        <v>5</v>
      </c>
      <c r="P35" s="27">
        <v>19</v>
      </c>
      <c r="Q35" s="31">
        <v>0.2631</v>
      </c>
      <c r="R35" s="27">
        <v>34</v>
      </c>
      <c r="S35" s="249">
        <v>64</v>
      </c>
      <c r="T35" s="31">
        <v>0.53120000000000001</v>
      </c>
      <c r="U35" s="40"/>
      <c r="V35" s="27">
        <v>2000</v>
      </c>
      <c r="W35" s="27" t="s">
        <v>36</v>
      </c>
      <c r="X35" s="30" t="s">
        <v>35</v>
      </c>
      <c r="Y35" s="252"/>
      <c r="Z35" s="252" t="s">
        <v>226</v>
      </c>
      <c r="AA35" s="252" t="s">
        <v>229</v>
      </c>
      <c r="AB35" s="252" t="s">
        <v>218</v>
      </c>
      <c r="AC35" s="27" t="s">
        <v>217</v>
      </c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27">
        <v>2001</v>
      </c>
      <c r="C36" s="27" t="s">
        <v>36</v>
      </c>
      <c r="D36" s="30" t="s">
        <v>35</v>
      </c>
      <c r="E36" s="73">
        <v>10</v>
      </c>
      <c r="F36" s="27">
        <v>6</v>
      </c>
      <c r="G36" s="27">
        <v>9</v>
      </c>
      <c r="H36" s="46">
        <v>0.66659999999999997</v>
      </c>
      <c r="I36" s="27">
        <v>7</v>
      </c>
      <c r="J36" s="27">
        <v>16</v>
      </c>
      <c r="K36" s="46">
        <v>0.4375</v>
      </c>
      <c r="L36" s="27">
        <v>9</v>
      </c>
      <c r="M36" s="27">
        <v>13</v>
      </c>
      <c r="N36" s="46">
        <v>0.69230000000000003</v>
      </c>
      <c r="O36" s="27">
        <v>14</v>
      </c>
      <c r="P36" s="27">
        <v>22</v>
      </c>
      <c r="Q36" s="46">
        <v>0.63629999999999998</v>
      </c>
      <c r="R36" s="27">
        <v>36</v>
      </c>
      <c r="S36" s="249">
        <v>60</v>
      </c>
      <c r="T36" s="31">
        <v>0.6</v>
      </c>
      <c r="U36" s="40"/>
      <c r="V36" s="27">
        <v>2001</v>
      </c>
      <c r="W36" s="27" t="s">
        <v>36</v>
      </c>
      <c r="X36" s="30" t="s">
        <v>35</v>
      </c>
      <c r="Y36" s="252" t="s">
        <v>217</v>
      </c>
      <c r="Z36" s="252" t="s">
        <v>224</v>
      </c>
      <c r="AA36" s="252" t="s">
        <v>232</v>
      </c>
      <c r="AB36" s="252" t="s">
        <v>182</v>
      </c>
      <c r="AC36" s="27" t="s">
        <v>224</v>
      </c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27">
        <v>2002</v>
      </c>
      <c r="C37" s="27" t="s">
        <v>37</v>
      </c>
      <c r="D37" s="30" t="s">
        <v>35</v>
      </c>
      <c r="E37" s="73">
        <v>8</v>
      </c>
      <c r="F37" s="27">
        <v>1</v>
      </c>
      <c r="G37" s="27">
        <v>5</v>
      </c>
      <c r="H37" s="46">
        <v>0.2</v>
      </c>
      <c r="I37" s="27">
        <v>9</v>
      </c>
      <c r="J37" s="27">
        <v>15</v>
      </c>
      <c r="K37" s="46">
        <v>0.6</v>
      </c>
      <c r="L37" s="27">
        <v>13</v>
      </c>
      <c r="M37" s="27">
        <v>19</v>
      </c>
      <c r="N37" s="46">
        <v>0.68420000000000003</v>
      </c>
      <c r="O37" s="27">
        <v>14</v>
      </c>
      <c r="P37" s="27">
        <v>24</v>
      </c>
      <c r="Q37" s="46">
        <v>0.58330000000000004</v>
      </c>
      <c r="R37" s="27">
        <v>37</v>
      </c>
      <c r="S37" s="249">
        <v>63</v>
      </c>
      <c r="T37" s="31">
        <v>0.58730000000000004</v>
      </c>
      <c r="U37" s="40"/>
      <c r="V37" s="27">
        <v>2002</v>
      </c>
      <c r="W37" s="27" t="s">
        <v>37</v>
      </c>
      <c r="X37" s="30" t="s">
        <v>35</v>
      </c>
      <c r="Y37" s="252"/>
      <c r="Z37" s="252" t="s">
        <v>229</v>
      </c>
      <c r="AA37" s="252" t="s">
        <v>182</v>
      </c>
      <c r="AB37" s="252" t="s">
        <v>39</v>
      </c>
      <c r="AC37" s="27" t="s">
        <v>226</v>
      </c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27">
        <v>2003</v>
      </c>
      <c r="C38" s="27" t="s">
        <v>38</v>
      </c>
      <c r="D38" s="30" t="s">
        <v>35</v>
      </c>
      <c r="E38" s="73">
        <v>7</v>
      </c>
      <c r="F38" s="27">
        <v>0</v>
      </c>
      <c r="G38" s="27">
        <v>0</v>
      </c>
      <c r="H38" s="46">
        <v>0</v>
      </c>
      <c r="I38" s="27">
        <v>7</v>
      </c>
      <c r="J38" s="27">
        <v>12</v>
      </c>
      <c r="K38" s="46">
        <v>0.58330000000000004</v>
      </c>
      <c r="L38" s="27">
        <v>7</v>
      </c>
      <c r="M38" s="27">
        <v>11</v>
      </c>
      <c r="N38" s="46">
        <v>0.63629999999999998</v>
      </c>
      <c r="O38" s="27">
        <v>14</v>
      </c>
      <c r="P38" s="27">
        <v>24</v>
      </c>
      <c r="Q38" s="46">
        <v>0.58330000000000004</v>
      </c>
      <c r="R38" s="27">
        <v>28</v>
      </c>
      <c r="S38" s="249">
        <v>47</v>
      </c>
      <c r="T38" s="31">
        <v>0.59570000000000001</v>
      </c>
      <c r="U38" s="40"/>
      <c r="V38" s="27">
        <v>2003</v>
      </c>
      <c r="W38" s="27" t="s">
        <v>38</v>
      </c>
      <c r="X38" s="30" t="s">
        <v>35</v>
      </c>
      <c r="Y38" s="252"/>
      <c r="Z38" s="252" t="s">
        <v>504</v>
      </c>
      <c r="AA38" s="252"/>
      <c r="AB38" s="252" t="s">
        <v>60</v>
      </c>
      <c r="AC38" s="27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27">
        <v>2004</v>
      </c>
      <c r="C39" s="27" t="s">
        <v>36</v>
      </c>
      <c r="D39" s="30" t="s">
        <v>35</v>
      </c>
      <c r="E39" s="73">
        <v>14</v>
      </c>
      <c r="F39" s="27">
        <v>1</v>
      </c>
      <c r="G39" s="27">
        <v>6</v>
      </c>
      <c r="H39" s="46">
        <v>0.1666</v>
      </c>
      <c r="I39" s="27">
        <v>18</v>
      </c>
      <c r="J39" s="27">
        <v>31</v>
      </c>
      <c r="K39" s="46">
        <v>0.5806</v>
      </c>
      <c r="L39" s="27">
        <v>32</v>
      </c>
      <c r="M39" s="27">
        <v>43</v>
      </c>
      <c r="N39" s="46">
        <v>0.74409999999999998</v>
      </c>
      <c r="O39" s="27">
        <v>16</v>
      </c>
      <c r="P39" s="27">
        <v>30</v>
      </c>
      <c r="Q39" s="46">
        <v>0.5333</v>
      </c>
      <c r="R39" s="27">
        <v>67</v>
      </c>
      <c r="S39" s="249">
        <v>110</v>
      </c>
      <c r="T39" s="31">
        <v>0.60899999999999999</v>
      </c>
      <c r="U39" s="40"/>
      <c r="V39" s="27">
        <v>2004</v>
      </c>
      <c r="W39" s="27" t="s">
        <v>36</v>
      </c>
      <c r="X39" s="30" t="s">
        <v>35</v>
      </c>
      <c r="Y39" s="252"/>
      <c r="Z39" s="252" t="s">
        <v>222</v>
      </c>
      <c r="AA39" s="252" t="s">
        <v>57</v>
      </c>
      <c r="AB39" s="252" t="s">
        <v>60</v>
      </c>
      <c r="AC39" s="27" t="s">
        <v>60</v>
      </c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27">
        <v>2005</v>
      </c>
      <c r="C40" s="27" t="s">
        <v>36</v>
      </c>
      <c r="D40" s="30" t="s">
        <v>35</v>
      </c>
      <c r="E40" s="73">
        <v>14</v>
      </c>
      <c r="F40" s="27">
        <v>0</v>
      </c>
      <c r="G40" s="27">
        <v>2</v>
      </c>
      <c r="H40" s="46">
        <v>0</v>
      </c>
      <c r="I40" s="27">
        <v>25</v>
      </c>
      <c r="J40" s="27">
        <v>32</v>
      </c>
      <c r="K40" s="46">
        <v>0.78120000000000001</v>
      </c>
      <c r="L40" s="27">
        <v>56</v>
      </c>
      <c r="M40" s="27">
        <v>75</v>
      </c>
      <c r="N40" s="46">
        <v>0.74660000000000004</v>
      </c>
      <c r="O40" s="27">
        <v>7</v>
      </c>
      <c r="P40" s="27">
        <v>13</v>
      </c>
      <c r="Q40" s="46">
        <v>0.53839999999999999</v>
      </c>
      <c r="R40" s="27">
        <v>88</v>
      </c>
      <c r="S40" s="249">
        <v>122</v>
      </c>
      <c r="T40" s="31">
        <v>0.72130000000000005</v>
      </c>
      <c r="U40" s="40"/>
      <c r="V40" s="27">
        <v>2005</v>
      </c>
      <c r="W40" s="27" t="s">
        <v>36</v>
      </c>
      <c r="X40" s="30" t="s">
        <v>35</v>
      </c>
      <c r="Y40" s="252"/>
      <c r="Z40" s="252" t="s">
        <v>60</v>
      </c>
      <c r="AA40" s="252" t="s">
        <v>40</v>
      </c>
      <c r="AB40" s="252" t="s">
        <v>218</v>
      </c>
      <c r="AC40" s="27" t="s">
        <v>34</v>
      </c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27">
        <v>2006</v>
      </c>
      <c r="C41" s="27" t="s">
        <v>39</v>
      </c>
      <c r="D41" s="30" t="s">
        <v>35</v>
      </c>
      <c r="E41" s="73">
        <v>7</v>
      </c>
      <c r="F41" s="27">
        <v>3</v>
      </c>
      <c r="G41" s="27">
        <v>5</v>
      </c>
      <c r="H41" s="46">
        <v>0.6</v>
      </c>
      <c r="I41" s="27">
        <v>7</v>
      </c>
      <c r="J41" s="27">
        <v>13</v>
      </c>
      <c r="K41" s="46">
        <v>0.53839999999999999</v>
      </c>
      <c r="L41" s="27">
        <v>13</v>
      </c>
      <c r="M41" s="27">
        <v>22</v>
      </c>
      <c r="N41" s="46">
        <v>0.59089999999999998</v>
      </c>
      <c r="O41" s="27">
        <v>9</v>
      </c>
      <c r="P41" s="27">
        <v>14</v>
      </c>
      <c r="Q41" s="46">
        <v>0.64280000000000004</v>
      </c>
      <c r="R41" s="27">
        <v>32</v>
      </c>
      <c r="S41" s="249">
        <v>54</v>
      </c>
      <c r="T41" s="31">
        <v>0.59250000000000003</v>
      </c>
      <c r="U41" s="40"/>
      <c r="V41" s="27">
        <v>2006</v>
      </c>
      <c r="W41" s="27" t="s">
        <v>39</v>
      </c>
      <c r="X41" s="30" t="s">
        <v>35</v>
      </c>
      <c r="Y41" s="252"/>
      <c r="Z41" s="252"/>
      <c r="AA41" s="252" t="s">
        <v>229</v>
      </c>
      <c r="AB41" s="252" t="s">
        <v>222</v>
      </c>
      <c r="AC41" s="27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27">
        <v>2007</v>
      </c>
      <c r="C42" s="27" t="s">
        <v>40</v>
      </c>
      <c r="D42" s="30" t="s">
        <v>35</v>
      </c>
      <c r="E42" s="73">
        <v>16</v>
      </c>
      <c r="F42" s="27">
        <v>6</v>
      </c>
      <c r="G42" s="27">
        <v>14</v>
      </c>
      <c r="H42" s="46">
        <v>0.42849999999999999</v>
      </c>
      <c r="I42" s="27">
        <v>32</v>
      </c>
      <c r="J42" s="27">
        <v>54</v>
      </c>
      <c r="K42" s="46">
        <v>0.59250000000000003</v>
      </c>
      <c r="L42" s="27">
        <v>48</v>
      </c>
      <c r="M42" s="27">
        <v>62</v>
      </c>
      <c r="N42" s="46">
        <v>0.77410000000000001</v>
      </c>
      <c r="O42" s="27">
        <v>17</v>
      </c>
      <c r="P42" s="27">
        <v>24</v>
      </c>
      <c r="Q42" s="46">
        <v>0.70830000000000004</v>
      </c>
      <c r="R42" s="27">
        <v>103</v>
      </c>
      <c r="S42" s="249">
        <v>154</v>
      </c>
      <c r="T42" s="31">
        <v>0.66879999999999995</v>
      </c>
      <c r="U42" s="40"/>
      <c r="V42" s="27">
        <v>2007</v>
      </c>
      <c r="W42" s="27" t="s">
        <v>40</v>
      </c>
      <c r="X42" s="30" t="s">
        <v>35</v>
      </c>
      <c r="Y42" s="252"/>
      <c r="Z42" s="252" t="s">
        <v>57</v>
      </c>
      <c r="AA42" s="252" t="s">
        <v>34</v>
      </c>
      <c r="AB42" s="252" t="s">
        <v>41</v>
      </c>
      <c r="AC42" s="27" t="s">
        <v>40</v>
      </c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27">
        <v>2008</v>
      </c>
      <c r="C43" s="27" t="s">
        <v>39</v>
      </c>
      <c r="D43" s="30" t="s">
        <v>35</v>
      </c>
      <c r="E43" s="73">
        <v>3</v>
      </c>
      <c r="F43" s="27">
        <v>2</v>
      </c>
      <c r="G43" s="27">
        <v>5</v>
      </c>
      <c r="H43" s="46">
        <v>0.4</v>
      </c>
      <c r="I43" s="27">
        <v>3</v>
      </c>
      <c r="J43" s="27">
        <v>5</v>
      </c>
      <c r="K43" s="46">
        <v>0.6</v>
      </c>
      <c r="L43" s="27">
        <v>8</v>
      </c>
      <c r="M43" s="27">
        <v>9</v>
      </c>
      <c r="N43" s="46">
        <v>0.88880000000000003</v>
      </c>
      <c r="O43" s="27">
        <v>1</v>
      </c>
      <c r="P43" s="27">
        <v>5</v>
      </c>
      <c r="Q43" s="46">
        <v>0.2</v>
      </c>
      <c r="R43" s="27">
        <v>14</v>
      </c>
      <c r="S43" s="249">
        <v>24</v>
      </c>
      <c r="T43" s="31">
        <v>0.58330000000000004</v>
      </c>
      <c r="U43" s="40"/>
      <c r="V43" s="27">
        <v>2008</v>
      </c>
      <c r="W43" s="27" t="s">
        <v>39</v>
      </c>
      <c r="X43" s="30" t="s">
        <v>35</v>
      </c>
      <c r="Y43" s="252"/>
      <c r="Z43" s="252"/>
      <c r="AA43" s="252"/>
      <c r="AB43" s="252"/>
      <c r="AC43" s="27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27">
        <v>2009</v>
      </c>
      <c r="C44" s="27" t="s">
        <v>41</v>
      </c>
      <c r="D44" s="30" t="s">
        <v>35</v>
      </c>
      <c r="E44" s="73">
        <v>5</v>
      </c>
      <c r="F44" s="27">
        <v>2</v>
      </c>
      <c r="G44" s="27">
        <v>7</v>
      </c>
      <c r="H44" s="46">
        <v>0.28570000000000001</v>
      </c>
      <c r="I44" s="27">
        <v>8</v>
      </c>
      <c r="J44" s="27">
        <v>16</v>
      </c>
      <c r="K44" s="46">
        <v>0.5</v>
      </c>
      <c r="L44" s="27">
        <v>16</v>
      </c>
      <c r="M44" s="27">
        <v>22</v>
      </c>
      <c r="N44" s="46">
        <v>0.72719999999999996</v>
      </c>
      <c r="O44" s="27">
        <v>4</v>
      </c>
      <c r="P44" s="27">
        <v>5</v>
      </c>
      <c r="Q44" s="46">
        <v>0.8</v>
      </c>
      <c r="R44" s="27">
        <v>30</v>
      </c>
      <c r="S44" s="249">
        <v>50</v>
      </c>
      <c r="T44" s="31">
        <v>0.6</v>
      </c>
      <c r="U44" s="40"/>
      <c r="V44" s="27">
        <v>2009</v>
      </c>
      <c r="W44" s="27" t="s">
        <v>41</v>
      </c>
      <c r="X44" s="30" t="s">
        <v>35</v>
      </c>
      <c r="Y44" s="252"/>
      <c r="Z44" s="252" t="s">
        <v>224</v>
      </c>
      <c r="AA44" s="252" t="s">
        <v>50</v>
      </c>
      <c r="AB44" s="252" t="s">
        <v>217</v>
      </c>
      <c r="AC44" s="27" t="s">
        <v>368</v>
      </c>
      <c r="AD44" s="40"/>
      <c r="AE44" s="40"/>
      <c r="AF44" s="40"/>
      <c r="AG44" s="40"/>
      <c r="AH44" s="40"/>
      <c r="AI44" s="40"/>
      <c r="AJ44" s="40"/>
    </row>
    <row r="45" spans="1:36" s="69" customFormat="1" ht="15.6" customHeight="1" x14ac:dyDescent="0.25">
      <c r="A45" s="65"/>
      <c r="B45" s="27">
        <v>2010</v>
      </c>
      <c r="C45" s="27" t="s">
        <v>38</v>
      </c>
      <c r="D45" s="30" t="s">
        <v>35</v>
      </c>
      <c r="E45" s="73">
        <v>3</v>
      </c>
      <c r="F45" s="27">
        <v>0</v>
      </c>
      <c r="G45" s="27">
        <v>4</v>
      </c>
      <c r="H45" s="46">
        <v>0</v>
      </c>
      <c r="I45" s="27">
        <v>6</v>
      </c>
      <c r="J45" s="27">
        <v>8</v>
      </c>
      <c r="K45" s="46">
        <v>0.75</v>
      </c>
      <c r="L45" s="27">
        <v>6</v>
      </c>
      <c r="M45" s="27">
        <v>8</v>
      </c>
      <c r="N45" s="46">
        <v>0.75</v>
      </c>
      <c r="O45" s="27">
        <v>1</v>
      </c>
      <c r="P45" s="27">
        <v>1</v>
      </c>
      <c r="Q45" s="46">
        <v>1</v>
      </c>
      <c r="R45" s="27">
        <v>13</v>
      </c>
      <c r="S45" s="249">
        <v>21</v>
      </c>
      <c r="T45" s="31">
        <v>0.61899999999999999</v>
      </c>
      <c r="U45" s="40"/>
      <c r="V45" s="27">
        <v>2010</v>
      </c>
      <c r="W45" s="27" t="s">
        <v>38</v>
      </c>
      <c r="X45" s="30" t="s">
        <v>35</v>
      </c>
      <c r="Y45" s="252"/>
      <c r="Z45" s="252" t="s">
        <v>342</v>
      </c>
      <c r="AA45" s="252" t="s">
        <v>342</v>
      </c>
      <c r="AB45" s="252"/>
      <c r="AC45" s="27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27">
        <v>2011</v>
      </c>
      <c r="C46" s="27" t="s">
        <v>39</v>
      </c>
      <c r="D46" s="30" t="s">
        <v>35</v>
      </c>
      <c r="E46" s="73">
        <v>4</v>
      </c>
      <c r="F46" s="27">
        <v>1</v>
      </c>
      <c r="G46" s="27">
        <v>3</v>
      </c>
      <c r="H46" s="31">
        <v>0.33329999999999999</v>
      </c>
      <c r="I46" s="27">
        <v>6</v>
      </c>
      <c r="J46" s="27">
        <v>9</v>
      </c>
      <c r="K46" s="31">
        <v>0.66659999999999997</v>
      </c>
      <c r="L46" s="27">
        <v>5</v>
      </c>
      <c r="M46" s="27">
        <v>7</v>
      </c>
      <c r="N46" s="31">
        <v>0.71419999999999995</v>
      </c>
      <c r="O46" s="27">
        <v>3</v>
      </c>
      <c r="P46" s="27">
        <v>9</v>
      </c>
      <c r="Q46" s="31">
        <v>0.33329999999999999</v>
      </c>
      <c r="R46" s="27">
        <v>15</v>
      </c>
      <c r="S46" s="249">
        <v>28</v>
      </c>
      <c r="T46" s="46">
        <v>0.53569999999999995</v>
      </c>
      <c r="U46" s="40"/>
      <c r="V46" s="27">
        <v>2011</v>
      </c>
      <c r="W46" s="27" t="s">
        <v>39</v>
      </c>
      <c r="X46" s="30" t="s">
        <v>35</v>
      </c>
      <c r="Y46" s="252"/>
      <c r="Z46" s="252" t="s">
        <v>504</v>
      </c>
      <c r="AA46" s="252"/>
      <c r="AB46" s="252" t="s">
        <v>368</v>
      </c>
      <c r="AC46" s="27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27">
        <v>2012</v>
      </c>
      <c r="C47" s="27" t="s">
        <v>57</v>
      </c>
      <c r="D47" s="30" t="s">
        <v>35</v>
      </c>
      <c r="E47" s="73">
        <v>6</v>
      </c>
      <c r="F47" s="27">
        <v>6</v>
      </c>
      <c r="G47" s="27">
        <v>10</v>
      </c>
      <c r="H47" s="31">
        <v>0.6</v>
      </c>
      <c r="I47" s="27">
        <v>11</v>
      </c>
      <c r="J47" s="27">
        <v>17</v>
      </c>
      <c r="K47" s="31">
        <v>0.64700000000000002</v>
      </c>
      <c r="L47" s="27">
        <v>18</v>
      </c>
      <c r="M47" s="27">
        <v>24</v>
      </c>
      <c r="N47" s="31">
        <v>0.75</v>
      </c>
      <c r="O47" s="27">
        <v>10</v>
      </c>
      <c r="P47" s="27">
        <v>15</v>
      </c>
      <c r="Q47" s="31">
        <v>0.66659999999999997</v>
      </c>
      <c r="R47" s="27">
        <v>45</v>
      </c>
      <c r="S47" s="249">
        <v>66</v>
      </c>
      <c r="T47" s="46">
        <v>0.68179999999999996</v>
      </c>
      <c r="U47" s="40"/>
      <c r="V47" s="27">
        <v>2012</v>
      </c>
      <c r="W47" s="27" t="s">
        <v>57</v>
      </c>
      <c r="X47" s="30" t="s">
        <v>35</v>
      </c>
      <c r="Y47" s="252"/>
      <c r="Z47" s="252" t="s">
        <v>218</v>
      </c>
      <c r="AA47" s="252" t="s">
        <v>41</v>
      </c>
      <c r="AB47" s="252" t="s">
        <v>228</v>
      </c>
      <c r="AC47" s="27" t="s">
        <v>218</v>
      </c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27">
        <v>2013</v>
      </c>
      <c r="C48" s="27" t="s">
        <v>38</v>
      </c>
      <c r="D48" s="30" t="s">
        <v>35</v>
      </c>
      <c r="E48" s="73">
        <v>5</v>
      </c>
      <c r="F48" s="27">
        <v>2</v>
      </c>
      <c r="G48" s="27">
        <v>5</v>
      </c>
      <c r="H48" s="31">
        <v>0.4</v>
      </c>
      <c r="I48" s="27">
        <v>8</v>
      </c>
      <c r="J48" s="27">
        <v>12</v>
      </c>
      <c r="K48" s="31">
        <v>0.66659999999999997</v>
      </c>
      <c r="L48" s="27">
        <v>15</v>
      </c>
      <c r="M48" s="27">
        <v>22</v>
      </c>
      <c r="N48" s="31">
        <v>0.68179999999999996</v>
      </c>
      <c r="O48" s="27">
        <v>10</v>
      </c>
      <c r="P48" s="27">
        <v>16</v>
      </c>
      <c r="Q48" s="31">
        <v>0.625</v>
      </c>
      <c r="R48" s="27">
        <v>35</v>
      </c>
      <c r="S48" s="249">
        <v>55</v>
      </c>
      <c r="T48" s="46">
        <v>0.63629999999999998</v>
      </c>
      <c r="U48" s="40"/>
      <c r="V48" s="27">
        <v>2013</v>
      </c>
      <c r="W48" s="27" t="s">
        <v>38</v>
      </c>
      <c r="X48" s="30" t="s">
        <v>35</v>
      </c>
      <c r="Y48" s="252"/>
      <c r="Z48" s="252" t="s">
        <v>226</v>
      </c>
      <c r="AA48" s="252" t="s">
        <v>228</v>
      </c>
      <c r="AB48" s="252" t="s">
        <v>230</v>
      </c>
      <c r="AC48" s="27" t="s">
        <v>227</v>
      </c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27">
        <v>2014</v>
      </c>
      <c r="C49" s="27" t="s">
        <v>36</v>
      </c>
      <c r="D49" s="30" t="s">
        <v>35</v>
      </c>
      <c r="E49" s="73">
        <v>10</v>
      </c>
      <c r="F49" s="27">
        <v>5</v>
      </c>
      <c r="G49" s="27">
        <v>12</v>
      </c>
      <c r="H49" s="31">
        <v>0.41660000000000003</v>
      </c>
      <c r="I49" s="27">
        <v>11</v>
      </c>
      <c r="J49" s="27">
        <v>15</v>
      </c>
      <c r="K49" s="31">
        <v>0.73329999999999995</v>
      </c>
      <c r="L49" s="27">
        <v>28</v>
      </c>
      <c r="M49" s="27">
        <v>43</v>
      </c>
      <c r="N49" s="31">
        <v>0.65110000000000001</v>
      </c>
      <c r="O49" s="27">
        <v>16</v>
      </c>
      <c r="P49" s="27">
        <v>33</v>
      </c>
      <c r="Q49" s="31">
        <v>0.48480000000000001</v>
      </c>
      <c r="R49" s="27">
        <v>60</v>
      </c>
      <c r="S49" s="249">
        <v>103</v>
      </c>
      <c r="T49" s="46">
        <v>0.58250000000000002</v>
      </c>
      <c r="U49" s="40"/>
      <c r="V49" s="27">
        <v>2014</v>
      </c>
      <c r="W49" s="27" t="s">
        <v>36</v>
      </c>
      <c r="X49" s="30" t="s">
        <v>35</v>
      </c>
      <c r="Y49" s="252"/>
      <c r="Z49" s="252" t="s">
        <v>229</v>
      </c>
      <c r="AA49" s="252" t="s">
        <v>34</v>
      </c>
      <c r="AB49" s="252" t="s">
        <v>36</v>
      </c>
      <c r="AC49" s="27" t="s">
        <v>34</v>
      </c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27">
        <v>2015</v>
      </c>
      <c r="C50" s="27" t="s">
        <v>39</v>
      </c>
      <c r="D50" s="30" t="s">
        <v>35</v>
      </c>
      <c r="E50" s="73">
        <v>3</v>
      </c>
      <c r="F50" s="27">
        <v>0</v>
      </c>
      <c r="G50" s="27">
        <v>2</v>
      </c>
      <c r="H50" s="31">
        <v>0</v>
      </c>
      <c r="I50" s="27">
        <v>2</v>
      </c>
      <c r="J50" s="27">
        <v>4</v>
      </c>
      <c r="K50" s="31">
        <v>0.5</v>
      </c>
      <c r="L50" s="27">
        <v>8</v>
      </c>
      <c r="M50" s="27">
        <v>10</v>
      </c>
      <c r="N50" s="31">
        <v>0.8</v>
      </c>
      <c r="O50" s="27">
        <v>5</v>
      </c>
      <c r="P50" s="27">
        <v>6</v>
      </c>
      <c r="Q50" s="31">
        <v>0.83330000000000004</v>
      </c>
      <c r="R50" s="27">
        <v>15</v>
      </c>
      <c r="S50" s="249">
        <v>22</v>
      </c>
      <c r="T50" s="46">
        <v>0.68179999999999996</v>
      </c>
      <c r="U50" s="40"/>
      <c r="V50" s="27">
        <v>2015</v>
      </c>
      <c r="W50" s="27" t="s">
        <v>39</v>
      </c>
      <c r="X50" s="30" t="s">
        <v>35</v>
      </c>
      <c r="Y50" s="252"/>
      <c r="Z50" s="252"/>
      <c r="AA50" s="252" t="s">
        <v>219</v>
      </c>
      <c r="AB50" s="252" t="s">
        <v>229</v>
      </c>
      <c r="AC50" s="27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27">
        <v>2016</v>
      </c>
      <c r="C51" s="27" t="s">
        <v>39</v>
      </c>
      <c r="D51" s="30" t="s">
        <v>35</v>
      </c>
      <c r="E51" s="73">
        <v>5</v>
      </c>
      <c r="F51" s="27">
        <v>0</v>
      </c>
      <c r="G51" s="27">
        <v>1</v>
      </c>
      <c r="H51" s="31">
        <v>0</v>
      </c>
      <c r="I51" s="27">
        <v>6</v>
      </c>
      <c r="J51" s="27">
        <v>12</v>
      </c>
      <c r="K51" s="31">
        <v>0.5</v>
      </c>
      <c r="L51" s="27">
        <v>11</v>
      </c>
      <c r="M51" s="27">
        <v>16</v>
      </c>
      <c r="N51" s="31">
        <v>0.6875</v>
      </c>
      <c r="O51" s="27">
        <v>10</v>
      </c>
      <c r="P51" s="27">
        <v>19</v>
      </c>
      <c r="Q51" s="31">
        <v>0.52629999999999999</v>
      </c>
      <c r="R51" s="27">
        <v>27</v>
      </c>
      <c r="S51" s="249">
        <v>48</v>
      </c>
      <c r="T51" s="46">
        <v>0.5625</v>
      </c>
      <c r="U51" s="40"/>
      <c r="V51" s="27">
        <v>2016</v>
      </c>
      <c r="W51" s="27" t="s">
        <v>39</v>
      </c>
      <c r="X51" s="30" t="s">
        <v>35</v>
      </c>
      <c r="Y51" s="252"/>
      <c r="Z51" s="252"/>
      <c r="AA51" s="252" t="s">
        <v>226</v>
      </c>
      <c r="AB51" s="252" t="s">
        <v>350</v>
      </c>
      <c r="AC51" s="27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27">
        <v>2017</v>
      </c>
      <c r="C52" s="27" t="s">
        <v>36</v>
      </c>
      <c r="D52" s="30" t="s">
        <v>212</v>
      </c>
      <c r="E52" s="73">
        <v>10</v>
      </c>
      <c r="F52" s="27">
        <v>1</v>
      </c>
      <c r="G52" s="27">
        <v>3</v>
      </c>
      <c r="H52" s="46">
        <v>0.33329999999999999</v>
      </c>
      <c r="I52" s="27">
        <v>0</v>
      </c>
      <c r="J52" s="27">
        <v>1</v>
      </c>
      <c r="K52" s="46">
        <v>0</v>
      </c>
      <c r="L52" s="27">
        <v>12</v>
      </c>
      <c r="M52" s="27">
        <v>24</v>
      </c>
      <c r="N52" s="46">
        <v>0.5</v>
      </c>
      <c r="O52" s="27">
        <v>32</v>
      </c>
      <c r="P52" s="27">
        <v>69</v>
      </c>
      <c r="Q52" s="46">
        <v>0.4637</v>
      </c>
      <c r="R52" s="27">
        <v>45</v>
      </c>
      <c r="S52" s="249">
        <v>97</v>
      </c>
      <c r="T52" s="31">
        <v>0.46389999999999998</v>
      </c>
      <c r="U52" s="40"/>
      <c r="V52" s="27">
        <v>2017</v>
      </c>
      <c r="W52" s="27" t="s">
        <v>36</v>
      </c>
      <c r="X52" s="30" t="s">
        <v>212</v>
      </c>
      <c r="Y52" s="252"/>
      <c r="Z52" s="252"/>
      <c r="AA52" s="252" t="s">
        <v>230</v>
      </c>
      <c r="AB52" s="252" t="s">
        <v>34</v>
      </c>
      <c r="AC52" s="27" t="s">
        <v>221</v>
      </c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27">
        <v>2018</v>
      </c>
      <c r="C53" s="27" t="s">
        <v>34</v>
      </c>
      <c r="D53" s="30" t="s">
        <v>212</v>
      </c>
      <c r="E53" s="73">
        <v>12</v>
      </c>
      <c r="F53" s="27">
        <v>1</v>
      </c>
      <c r="G53" s="27">
        <v>1</v>
      </c>
      <c r="H53" s="31">
        <v>1</v>
      </c>
      <c r="I53" s="27">
        <v>4</v>
      </c>
      <c r="J53" s="27">
        <v>7</v>
      </c>
      <c r="K53" s="31">
        <v>0.57140000000000002</v>
      </c>
      <c r="L53" s="27">
        <v>16</v>
      </c>
      <c r="M53" s="27">
        <v>30</v>
      </c>
      <c r="N53" s="31">
        <v>0.5333</v>
      </c>
      <c r="O53" s="27">
        <v>38</v>
      </c>
      <c r="P53" s="27">
        <v>86</v>
      </c>
      <c r="Q53" s="31">
        <v>0.44180000000000003</v>
      </c>
      <c r="R53" s="27">
        <v>59</v>
      </c>
      <c r="S53" s="249">
        <v>124</v>
      </c>
      <c r="T53" s="46">
        <v>0.4758</v>
      </c>
      <c r="U53" s="40"/>
      <c r="V53" s="27">
        <v>2018</v>
      </c>
      <c r="W53" s="27" t="s">
        <v>34</v>
      </c>
      <c r="X53" s="30" t="s">
        <v>212</v>
      </c>
      <c r="Y53" s="252"/>
      <c r="Z53" s="252"/>
      <c r="AA53" s="252" t="s">
        <v>182</v>
      </c>
      <c r="AB53" s="252" t="s">
        <v>40</v>
      </c>
      <c r="AC53" s="27" t="s">
        <v>34</v>
      </c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27">
        <v>2019</v>
      </c>
      <c r="C54" s="27" t="s">
        <v>38</v>
      </c>
      <c r="D54" s="30" t="s">
        <v>35</v>
      </c>
      <c r="E54" s="73">
        <v>3</v>
      </c>
      <c r="F54" s="27">
        <v>0</v>
      </c>
      <c r="G54" s="27">
        <v>1</v>
      </c>
      <c r="H54" s="46">
        <v>0</v>
      </c>
      <c r="I54" s="27">
        <v>0</v>
      </c>
      <c r="J54" s="27">
        <v>1</v>
      </c>
      <c r="K54" s="46">
        <v>0</v>
      </c>
      <c r="L54" s="27">
        <v>3</v>
      </c>
      <c r="M54" s="27">
        <v>8</v>
      </c>
      <c r="N54" s="46">
        <v>0.375</v>
      </c>
      <c r="O54" s="27">
        <v>6</v>
      </c>
      <c r="P54" s="27">
        <v>12</v>
      </c>
      <c r="Q54" s="46">
        <v>0.5</v>
      </c>
      <c r="R54" s="27">
        <v>9</v>
      </c>
      <c r="S54" s="249">
        <v>22</v>
      </c>
      <c r="T54" s="31">
        <v>0.40899999999999997</v>
      </c>
      <c r="U54" s="40"/>
      <c r="V54" s="27">
        <v>2019</v>
      </c>
      <c r="W54" s="27" t="s">
        <v>38</v>
      </c>
      <c r="X54" s="30" t="s">
        <v>35</v>
      </c>
      <c r="Y54" s="252"/>
      <c r="Z54" s="252"/>
      <c r="AA54" s="252"/>
      <c r="AB54" s="252" t="s">
        <v>232</v>
      </c>
      <c r="AC54" s="27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27">
        <v>2020</v>
      </c>
      <c r="C55" s="27" t="s">
        <v>57</v>
      </c>
      <c r="D55" s="30" t="s">
        <v>35</v>
      </c>
      <c r="E55" s="73">
        <v>2</v>
      </c>
      <c r="F55" s="27">
        <v>0</v>
      </c>
      <c r="G55" s="27">
        <v>0</v>
      </c>
      <c r="H55" s="46">
        <v>0</v>
      </c>
      <c r="I55" s="27">
        <v>1</v>
      </c>
      <c r="J55" s="27">
        <v>1</v>
      </c>
      <c r="K55" s="46">
        <v>1</v>
      </c>
      <c r="L55" s="27">
        <v>2</v>
      </c>
      <c r="M55" s="27">
        <v>3</v>
      </c>
      <c r="N55" s="46">
        <v>0.66659999999999997</v>
      </c>
      <c r="O55" s="27">
        <v>7</v>
      </c>
      <c r="P55" s="27">
        <v>12</v>
      </c>
      <c r="Q55" s="46">
        <v>0.58330000000000004</v>
      </c>
      <c r="R55" s="27">
        <v>10</v>
      </c>
      <c r="S55" s="249">
        <v>16</v>
      </c>
      <c r="T55" s="31">
        <v>0.625</v>
      </c>
      <c r="U55" s="40"/>
      <c r="V55" s="27">
        <v>2020</v>
      </c>
      <c r="W55" s="27" t="s">
        <v>57</v>
      </c>
      <c r="X55" s="30" t="s">
        <v>35</v>
      </c>
      <c r="Y55" s="252"/>
      <c r="Z55" s="252"/>
      <c r="AA55" s="252"/>
      <c r="AB55" s="252" t="s">
        <v>228</v>
      </c>
      <c r="AC55" s="27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27">
        <v>2021</v>
      </c>
      <c r="C56" s="27" t="s">
        <v>182</v>
      </c>
      <c r="D56" s="29" t="s">
        <v>35</v>
      </c>
      <c r="E56" s="73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40"/>
      <c r="V56" s="27">
        <v>2021</v>
      </c>
      <c r="W56" s="27" t="s">
        <v>182</v>
      </c>
      <c r="X56" s="29" t="s">
        <v>35</v>
      </c>
      <c r="Y56" s="252"/>
      <c r="Z56" s="252"/>
      <c r="AA56" s="252"/>
      <c r="AB56" s="252"/>
      <c r="AC56" s="27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27">
        <v>2022</v>
      </c>
      <c r="C57" s="27" t="s">
        <v>36</v>
      </c>
      <c r="D57" s="29" t="s">
        <v>35</v>
      </c>
      <c r="E57" s="73">
        <v>11</v>
      </c>
      <c r="F57" s="246">
        <v>1</v>
      </c>
      <c r="G57" s="246">
        <v>2</v>
      </c>
      <c r="H57" s="247">
        <f>PRODUCT(F57/G57)</f>
        <v>0.5</v>
      </c>
      <c r="I57" s="246">
        <v>7</v>
      </c>
      <c r="J57" s="246">
        <v>13</v>
      </c>
      <c r="K57" s="247">
        <f>PRODUCT(I57/J57)</f>
        <v>0.53846153846153844</v>
      </c>
      <c r="L57" s="246">
        <v>14</v>
      </c>
      <c r="M57" s="246">
        <v>26</v>
      </c>
      <c r="N57" s="247">
        <f>PRODUCT(L57/M57)</f>
        <v>0.53846153846153844</v>
      </c>
      <c r="O57" s="246">
        <v>8</v>
      </c>
      <c r="P57" s="246">
        <v>22</v>
      </c>
      <c r="Q57" s="247">
        <f>PRODUCT(O57/P57)</f>
        <v>0.36363636363636365</v>
      </c>
      <c r="R57" s="27">
        <v>30</v>
      </c>
      <c r="S57" s="248">
        <v>63</v>
      </c>
      <c r="T57" s="247">
        <v>0.67610000000000003</v>
      </c>
      <c r="U57" s="40"/>
      <c r="V57" s="27">
        <v>2022</v>
      </c>
      <c r="W57" s="27" t="s">
        <v>36</v>
      </c>
      <c r="X57" s="29" t="s">
        <v>35</v>
      </c>
      <c r="Y57" s="252"/>
      <c r="Z57" s="252" t="s">
        <v>218</v>
      </c>
      <c r="AA57" s="252" t="s">
        <v>228</v>
      </c>
      <c r="AB57" s="252" t="s">
        <v>230</v>
      </c>
      <c r="AC57" s="27" t="s">
        <v>219</v>
      </c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27">
        <v>2023</v>
      </c>
      <c r="C58" s="27" t="s">
        <v>182</v>
      </c>
      <c r="D58" s="30" t="s">
        <v>35</v>
      </c>
      <c r="E58" s="17">
        <v>3</v>
      </c>
      <c r="F58" s="27">
        <v>0</v>
      </c>
      <c r="G58" s="27">
        <v>0</v>
      </c>
      <c r="H58" s="46">
        <v>0</v>
      </c>
      <c r="I58" s="27">
        <v>1</v>
      </c>
      <c r="J58" s="27">
        <v>1</v>
      </c>
      <c r="K58" s="46">
        <v>1</v>
      </c>
      <c r="L58" s="27">
        <v>2</v>
      </c>
      <c r="M58" s="27">
        <v>3</v>
      </c>
      <c r="N58" s="46">
        <v>0.66670000000000007</v>
      </c>
      <c r="O58" s="27">
        <v>8</v>
      </c>
      <c r="P58" s="27">
        <v>14</v>
      </c>
      <c r="Q58" s="46">
        <v>0.57140000000000002</v>
      </c>
      <c r="R58" s="27">
        <v>11</v>
      </c>
      <c r="S58" s="249">
        <v>18</v>
      </c>
      <c r="T58" s="46">
        <v>0.61109999999999998</v>
      </c>
      <c r="U58" s="39"/>
      <c r="V58" s="27">
        <v>2023</v>
      </c>
      <c r="W58" s="27" t="s">
        <v>182</v>
      </c>
      <c r="X58" s="30" t="s">
        <v>35</v>
      </c>
      <c r="Y58" s="252"/>
      <c r="Z58" s="252"/>
      <c r="AA58" s="252"/>
      <c r="AB58" s="252" t="s">
        <v>226</v>
      </c>
      <c r="AC58" s="27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15" t="s">
        <v>7</v>
      </c>
      <c r="C59" s="16"/>
      <c r="D59" s="14"/>
      <c r="E59" s="14">
        <v>165</v>
      </c>
      <c r="F59" s="17">
        <f>SUM(F34:F58)</f>
        <v>53</v>
      </c>
      <c r="G59" s="17">
        <f>SUM(G34:G58)</f>
        <v>127</v>
      </c>
      <c r="H59" s="158">
        <f>PRODUCT(F59/G59)</f>
        <v>0.41732283464566927</v>
      </c>
      <c r="I59" s="17">
        <f>SUM(I34:I58)</f>
        <v>194</v>
      </c>
      <c r="J59" s="17">
        <f>SUM(J34:J58)</f>
        <v>330</v>
      </c>
      <c r="K59" s="158">
        <f>PRODUCT(I59/J59)</f>
        <v>0.58787878787878789</v>
      </c>
      <c r="L59" s="17">
        <f>SUM(L34:L58)</f>
        <v>359</v>
      </c>
      <c r="M59" s="17">
        <f>SUM(M34:M58)</f>
        <v>525</v>
      </c>
      <c r="N59" s="158">
        <f>PRODUCT(L59/M59)</f>
        <v>0.68380952380952376</v>
      </c>
      <c r="O59" s="17">
        <f>SUM(O34:O58)</f>
        <v>257</v>
      </c>
      <c r="P59" s="17">
        <f>SUM(P34:P58)</f>
        <v>501</v>
      </c>
      <c r="Q59" s="158">
        <f>PRODUCT(O59/P59)</f>
        <v>0.51297405189620759</v>
      </c>
      <c r="R59" s="17">
        <f>SUM(R34:R58)</f>
        <v>863</v>
      </c>
      <c r="S59" s="17">
        <f>SUM(S34:S58)</f>
        <v>1483</v>
      </c>
      <c r="T59" s="158">
        <f>PRODUCT(R59/S59)</f>
        <v>0.58192852326365474</v>
      </c>
      <c r="U59" s="40"/>
      <c r="V59" s="16"/>
      <c r="W59" s="13"/>
      <c r="X59" s="56"/>
      <c r="Y59" s="13"/>
      <c r="Z59" s="13"/>
      <c r="AA59" s="13"/>
      <c r="AB59" s="13"/>
      <c r="AC59" s="14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9"/>
      <c r="F60" s="40"/>
      <c r="G60" s="40"/>
      <c r="H60" s="250"/>
      <c r="I60" s="40"/>
      <c r="J60" s="40"/>
      <c r="K60" s="251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9" t="s">
        <v>505</v>
      </c>
      <c r="C61" s="10"/>
      <c r="D61" s="11"/>
      <c r="E61" s="10"/>
      <c r="F61" s="183"/>
      <c r="G61" s="79"/>
      <c r="H61" s="10"/>
      <c r="I61" s="183"/>
      <c r="J61" s="79"/>
      <c r="K61" s="10"/>
      <c r="L61" s="183"/>
      <c r="M61" s="79"/>
      <c r="N61" s="10"/>
      <c r="O61" s="183"/>
      <c r="P61" s="79"/>
      <c r="Q61" s="10"/>
      <c r="R61" s="183"/>
      <c r="S61" s="79"/>
      <c r="T61" s="32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16"/>
      <c r="C62" s="13"/>
      <c r="D62" s="57"/>
      <c r="E62" s="220"/>
      <c r="F62" s="214"/>
      <c r="G62" s="220" t="s">
        <v>18</v>
      </c>
      <c r="H62" s="244"/>
      <c r="I62" s="214"/>
      <c r="J62" s="220" t="s">
        <v>19</v>
      </c>
      <c r="K62" s="245"/>
      <c r="L62" s="214"/>
      <c r="M62" s="220" t="s">
        <v>20</v>
      </c>
      <c r="N62" s="213"/>
      <c r="O62" s="214"/>
      <c r="P62" s="220" t="s">
        <v>21</v>
      </c>
      <c r="Q62" s="213"/>
      <c r="R62" s="214"/>
      <c r="S62" s="220" t="s">
        <v>7</v>
      </c>
      <c r="T62" s="213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21"/>
      <c r="C63" s="13"/>
      <c r="D63" s="57"/>
      <c r="E63" s="13" t="s">
        <v>3</v>
      </c>
      <c r="F63" s="16" t="s">
        <v>17</v>
      </c>
      <c r="G63" s="13" t="s">
        <v>501</v>
      </c>
      <c r="H63" s="155" t="s">
        <v>502</v>
      </c>
      <c r="I63" s="16" t="s">
        <v>17</v>
      </c>
      <c r="J63" s="13" t="s">
        <v>501</v>
      </c>
      <c r="K63" s="155" t="s">
        <v>502</v>
      </c>
      <c r="L63" s="16" t="s">
        <v>17</v>
      </c>
      <c r="M63" s="13" t="s">
        <v>501</v>
      </c>
      <c r="N63" s="155" t="s">
        <v>502</v>
      </c>
      <c r="O63" s="16" t="s">
        <v>17</v>
      </c>
      <c r="P63" s="13" t="s">
        <v>501</v>
      </c>
      <c r="Q63" s="155" t="s">
        <v>502</v>
      </c>
      <c r="R63" s="16" t="s">
        <v>17</v>
      </c>
      <c r="S63" s="13" t="s">
        <v>501</v>
      </c>
      <c r="T63" s="155" t="s">
        <v>502</v>
      </c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15" t="s">
        <v>506</v>
      </c>
      <c r="C64" s="16"/>
      <c r="D64" s="14"/>
      <c r="E64" s="14">
        <f t="shared" ref="E64:T64" si="7">PRODUCT(E29)</f>
        <v>672</v>
      </c>
      <c r="F64" s="17">
        <f t="shared" si="7"/>
        <v>188</v>
      </c>
      <c r="G64" s="17">
        <f t="shared" si="7"/>
        <v>448</v>
      </c>
      <c r="H64" s="158">
        <f t="shared" si="7"/>
        <v>0.41964285714285715</v>
      </c>
      <c r="I64" s="17">
        <f t="shared" si="7"/>
        <v>680</v>
      </c>
      <c r="J64" s="17">
        <f t="shared" si="7"/>
        <v>1126</v>
      </c>
      <c r="K64" s="158">
        <f t="shared" si="7"/>
        <v>0.60390763765541744</v>
      </c>
      <c r="L64" s="17">
        <f t="shared" si="7"/>
        <v>1410</v>
      </c>
      <c r="M64" s="17">
        <f t="shared" si="7"/>
        <v>1934</v>
      </c>
      <c r="N64" s="158">
        <f t="shared" si="7"/>
        <v>0.72905894519131331</v>
      </c>
      <c r="O64" s="17">
        <f t="shared" si="7"/>
        <v>1303</v>
      </c>
      <c r="P64" s="17">
        <f t="shared" si="7"/>
        <v>2408</v>
      </c>
      <c r="Q64" s="158">
        <f t="shared" si="7"/>
        <v>0.54111295681063121</v>
      </c>
      <c r="R64" s="17">
        <f t="shared" si="7"/>
        <v>3578</v>
      </c>
      <c r="S64" s="17">
        <f t="shared" si="7"/>
        <v>5913</v>
      </c>
      <c r="T64" s="158">
        <f t="shared" si="7"/>
        <v>0.60510739049551832</v>
      </c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15" t="s">
        <v>507</v>
      </c>
      <c r="C65" s="16"/>
      <c r="D65" s="14"/>
      <c r="E65" s="14">
        <f>PRODUCT(E59)</f>
        <v>165</v>
      </c>
      <c r="F65" s="17">
        <f t="shared" ref="F65:T65" si="8">PRODUCT(F59)</f>
        <v>53</v>
      </c>
      <c r="G65" s="17">
        <f t="shared" si="8"/>
        <v>127</v>
      </c>
      <c r="H65" s="158">
        <f t="shared" si="8"/>
        <v>0.41732283464566927</v>
      </c>
      <c r="I65" s="17">
        <f t="shared" si="8"/>
        <v>194</v>
      </c>
      <c r="J65" s="17">
        <f t="shared" si="8"/>
        <v>330</v>
      </c>
      <c r="K65" s="158">
        <f t="shared" si="8"/>
        <v>0.58787878787878789</v>
      </c>
      <c r="L65" s="17">
        <f t="shared" si="8"/>
        <v>359</v>
      </c>
      <c r="M65" s="17">
        <f t="shared" si="8"/>
        <v>525</v>
      </c>
      <c r="N65" s="158">
        <f t="shared" si="8"/>
        <v>0.68380952380952376</v>
      </c>
      <c r="O65" s="17">
        <f t="shared" si="8"/>
        <v>257</v>
      </c>
      <c r="P65" s="17">
        <f t="shared" si="8"/>
        <v>501</v>
      </c>
      <c r="Q65" s="158">
        <f t="shared" si="8"/>
        <v>0.51297405189620759</v>
      </c>
      <c r="R65" s="17">
        <f t="shared" si="8"/>
        <v>863</v>
      </c>
      <c r="S65" s="17">
        <f t="shared" si="8"/>
        <v>1483</v>
      </c>
      <c r="T65" s="158">
        <f t="shared" si="8"/>
        <v>0.58192852326365474</v>
      </c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40"/>
      <c r="C66" s="40"/>
      <c r="D66" s="40"/>
      <c r="E66" s="39"/>
      <c r="F66" s="40"/>
      <c r="G66" s="40"/>
      <c r="H66" s="250"/>
      <c r="I66" s="40"/>
      <c r="J66" s="40"/>
      <c r="K66" s="251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9"/>
      <c r="F67" s="40"/>
      <c r="G67" s="40"/>
      <c r="H67" s="250"/>
      <c r="I67" s="40"/>
      <c r="J67" s="40"/>
      <c r="K67" s="251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9"/>
      <c r="F68" s="40"/>
      <c r="G68" s="40"/>
      <c r="H68" s="250"/>
      <c r="I68" s="40"/>
      <c r="J68" s="40"/>
      <c r="K68" s="251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9"/>
      <c r="F69" s="40"/>
      <c r="G69" s="40"/>
      <c r="H69" s="250"/>
      <c r="I69" s="40"/>
      <c r="J69" s="40"/>
      <c r="K69" s="251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9"/>
      <c r="F70" s="40"/>
      <c r="G70" s="40"/>
      <c r="H70" s="250"/>
      <c r="I70" s="40"/>
      <c r="J70" s="40"/>
      <c r="K70" s="251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9"/>
      <c r="F71" s="40"/>
      <c r="G71" s="40"/>
      <c r="H71" s="250"/>
      <c r="I71" s="40"/>
      <c r="J71" s="40"/>
      <c r="K71" s="251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9"/>
      <c r="F72" s="40"/>
      <c r="G72" s="40"/>
      <c r="H72" s="250"/>
      <c r="I72" s="40"/>
      <c r="J72" s="40"/>
      <c r="K72" s="251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9"/>
      <c r="F73" s="40"/>
      <c r="G73" s="40"/>
      <c r="H73" s="250"/>
      <c r="I73" s="40"/>
      <c r="J73" s="40"/>
      <c r="K73" s="251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9"/>
      <c r="F74" s="40"/>
      <c r="G74" s="40"/>
      <c r="H74" s="250"/>
      <c r="I74" s="40"/>
      <c r="J74" s="40"/>
      <c r="K74" s="251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9"/>
      <c r="F75" s="40"/>
      <c r="G75" s="40"/>
      <c r="H75" s="250"/>
      <c r="I75" s="40"/>
      <c r="J75" s="40"/>
      <c r="K75" s="251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9"/>
      <c r="F76" s="40"/>
      <c r="G76" s="40"/>
      <c r="H76" s="250"/>
      <c r="I76" s="40"/>
      <c r="J76" s="40"/>
      <c r="K76" s="251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9"/>
      <c r="F77" s="40"/>
      <c r="G77" s="40"/>
      <c r="H77" s="250"/>
      <c r="I77" s="40"/>
      <c r="J77" s="40"/>
      <c r="K77" s="251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9"/>
      <c r="F78" s="40"/>
      <c r="G78" s="40"/>
      <c r="H78" s="250"/>
      <c r="I78" s="40"/>
      <c r="J78" s="40"/>
      <c r="K78" s="251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9"/>
      <c r="F79" s="40"/>
      <c r="G79" s="40"/>
      <c r="H79" s="250"/>
      <c r="I79" s="40"/>
      <c r="J79" s="40"/>
      <c r="K79" s="251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9"/>
      <c r="F80" s="40"/>
      <c r="G80" s="40"/>
      <c r="H80" s="250"/>
      <c r="I80" s="40"/>
      <c r="J80" s="40"/>
      <c r="K80" s="251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9"/>
      <c r="F81" s="40"/>
      <c r="G81" s="40"/>
      <c r="H81" s="250"/>
      <c r="I81" s="40"/>
      <c r="J81" s="40"/>
      <c r="K81" s="251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9"/>
      <c r="F82" s="40"/>
      <c r="G82" s="40"/>
      <c r="H82" s="250"/>
      <c r="I82" s="40"/>
      <c r="J82" s="40"/>
      <c r="K82" s="251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9"/>
      <c r="F83" s="40"/>
      <c r="G83" s="40"/>
      <c r="H83" s="250"/>
      <c r="I83" s="40"/>
      <c r="J83" s="40"/>
      <c r="K83" s="251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9"/>
      <c r="F84" s="40"/>
      <c r="G84" s="40"/>
      <c r="H84" s="250"/>
      <c r="I84" s="40"/>
      <c r="J84" s="40"/>
      <c r="K84" s="251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9"/>
      <c r="F85" s="40"/>
      <c r="G85" s="40"/>
      <c r="H85" s="250"/>
      <c r="I85" s="40"/>
      <c r="J85" s="40"/>
      <c r="K85" s="251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9"/>
      <c r="F86" s="40"/>
      <c r="G86" s="40"/>
      <c r="H86" s="250"/>
      <c r="I86" s="40"/>
      <c r="J86" s="40"/>
      <c r="K86" s="251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69" customFormat="1" ht="15.6" customHeight="1" x14ac:dyDescent="0.25">
      <c r="A87" s="65"/>
      <c r="B87" s="40"/>
      <c r="C87" s="40"/>
      <c r="D87" s="40"/>
      <c r="E87" s="39"/>
      <c r="F87" s="40"/>
      <c r="G87" s="40"/>
      <c r="H87" s="250"/>
      <c r="I87" s="40"/>
      <c r="J87" s="40"/>
      <c r="K87" s="251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69" customFormat="1" ht="15.6" customHeight="1" x14ac:dyDescent="0.25">
      <c r="A88" s="65"/>
      <c r="B88" s="40"/>
      <c r="C88" s="40"/>
      <c r="D88" s="40"/>
      <c r="E88" s="39"/>
      <c r="F88" s="40"/>
      <c r="G88" s="40"/>
      <c r="H88" s="250"/>
      <c r="I88" s="40"/>
      <c r="J88" s="40"/>
      <c r="K88" s="251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ht="15.6" customHeight="1" x14ac:dyDescent="0.25">
      <c r="A89" s="2"/>
      <c r="B89" s="40"/>
      <c r="C89" s="40"/>
      <c r="D89" s="40"/>
      <c r="E89" s="39"/>
      <c r="F89" s="40"/>
      <c r="G89" s="40"/>
      <c r="H89" s="250"/>
      <c r="I89" s="40"/>
      <c r="J89" s="40"/>
      <c r="K89" s="251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ht="15.6" customHeight="1" x14ac:dyDescent="0.25">
      <c r="A90" s="2"/>
      <c r="B90" s="40"/>
      <c r="C90" s="40"/>
      <c r="D90" s="40"/>
      <c r="E90" s="39"/>
      <c r="F90" s="40"/>
      <c r="G90" s="40"/>
      <c r="H90" s="250"/>
      <c r="I90" s="40"/>
      <c r="J90" s="40"/>
      <c r="K90" s="251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ht="15.6" customHeight="1" x14ac:dyDescent="0.25">
      <c r="A91" s="2"/>
      <c r="B91" s="40"/>
      <c r="C91" s="40"/>
      <c r="D91" s="40"/>
      <c r="E91" s="39"/>
      <c r="F91" s="40"/>
      <c r="G91" s="40"/>
      <c r="H91" s="250"/>
      <c r="I91" s="40"/>
      <c r="J91" s="40"/>
      <c r="K91" s="251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ht="15.6" customHeight="1" x14ac:dyDescent="0.25">
      <c r="A92" s="2"/>
      <c r="B92" s="40"/>
      <c r="C92" s="40"/>
      <c r="D92" s="40"/>
      <c r="E92" s="39"/>
      <c r="F92" s="40"/>
      <c r="G92" s="40"/>
      <c r="H92" s="250"/>
      <c r="I92" s="40"/>
      <c r="J92" s="40"/>
      <c r="K92" s="251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ht="15.6" customHeight="1" x14ac:dyDescent="0.25">
      <c r="A93" s="2"/>
      <c r="B93" s="40"/>
      <c r="C93" s="40"/>
      <c r="D93" s="40"/>
      <c r="E93" s="39"/>
      <c r="F93" s="40"/>
      <c r="G93" s="40"/>
      <c r="H93" s="250"/>
      <c r="I93" s="40"/>
      <c r="J93" s="40"/>
      <c r="K93" s="251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ht="15.6" customHeight="1" x14ac:dyDescent="0.25">
      <c r="A94" s="2"/>
      <c r="B94" s="40"/>
      <c r="C94" s="40"/>
      <c r="D94" s="40"/>
      <c r="E94" s="39"/>
      <c r="F94" s="40"/>
      <c r="G94" s="40"/>
      <c r="H94" s="250"/>
      <c r="I94" s="40"/>
      <c r="J94" s="40"/>
      <c r="K94" s="251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ht="15.6" customHeight="1" x14ac:dyDescent="0.25">
      <c r="A95" s="2"/>
      <c r="B95" s="40"/>
      <c r="C95" s="40"/>
      <c r="D95" s="40"/>
      <c r="E95" s="39"/>
      <c r="F95" s="40"/>
      <c r="G95" s="40"/>
      <c r="H95" s="250"/>
      <c r="I95" s="40"/>
      <c r="J95" s="40"/>
      <c r="K95" s="251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ht="15.6" customHeight="1" x14ac:dyDescent="0.25">
      <c r="A96" s="2"/>
      <c r="B96" s="40"/>
      <c r="C96" s="40"/>
      <c r="D96" s="40"/>
      <c r="E96" s="39"/>
      <c r="F96" s="40"/>
      <c r="G96" s="40"/>
      <c r="H96" s="250"/>
      <c r="I96" s="40"/>
      <c r="J96" s="40"/>
      <c r="K96" s="251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ht="15.6" customHeight="1" x14ac:dyDescent="0.25">
      <c r="A97" s="2"/>
      <c r="B97" s="40"/>
      <c r="C97" s="40"/>
      <c r="D97" s="40"/>
      <c r="E97" s="39"/>
      <c r="F97" s="40"/>
      <c r="G97" s="40"/>
      <c r="H97" s="250"/>
      <c r="I97" s="40"/>
      <c r="J97" s="40"/>
      <c r="K97" s="251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ht="15.6" customHeight="1" x14ac:dyDescent="0.25">
      <c r="A98" s="2"/>
      <c r="B98" s="40"/>
      <c r="C98" s="40"/>
      <c r="D98" s="40"/>
      <c r="E98" s="39"/>
      <c r="F98" s="40"/>
      <c r="G98" s="40"/>
      <c r="H98" s="250"/>
      <c r="I98" s="40"/>
      <c r="J98" s="40"/>
      <c r="K98" s="251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ht="15.6" customHeight="1" x14ac:dyDescent="0.25">
      <c r="A99" s="2"/>
      <c r="B99" s="40"/>
      <c r="C99" s="40"/>
      <c r="D99" s="40"/>
      <c r="E99" s="39"/>
      <c r="F99" s="40"/>
      <c r="G99" s="40"/>
      <c r="H99" s="250"/>
      <c r="I99" s="40"/>
      <c r="J99" s="40"/>
      <c r="K99" s="251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ht="15.6" customHeight="1" x14ac:dyDescent="0.25">
      <c r="A100" s="2"/>
      <c r="B100" s="40"/>
      <c r="C100" s="40"/>
      <c r="D100" s="40"/>
      <c r="E100" s="39"/>
      <c r="F100" s="40"/>
      <c r="G100" s="40"/>
      <c r="H100" s="250"/>
      <c r="I100" s="40"/>
      <c r="J100" s="40"/>
      <c r="K100" s="251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</row>
    <row r="101" spans="1:36" ht="15.6" customHeight="1" x14ac:dyDescent="0.25">
      <c r="A101" s="2"/>
      <c r="B101" s="40"/>
      <c r="C101" s="40"/>
      <c r="D101" s="40"/>
      <c r="E101" s="39"/>
      <c r="F101" s="40"/>
      <c r="G101" s="40"/>
      <c r="H101" s="250"/>
      <c r="I101" s="40"/>
      <c r="J101" s="40"/>
      <c r="K101" s="251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</row>
    <row r="102" spans="1:36" ht="15.6" customHeight="1" x14ac:dyDescent="0.25">
      <c r="A102" s="2"/>
      <c r="B102" s="40"/>
      <c r="C102" s="40"/>
      <c r="D102" s="40"/>
      <c r="E102" s="39"/>
      <c r="F102" s="40"/>
      <c r="G102" s="40"/>
      <c r="H102" s="250"/>
      <c r="I102" s="40"/>
      <c r="J102" s="40"/>
      <c r="K102" s="251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</row>
    <row r="103" spans="1:36" ht="15.6" customHeight="1" x14ac:dyDescent="0.25">
      <c r="A103" s="2"/>
      <c r="B103" s="40"/>
      <c r="C103" s="40"/>
      <c r="D103" s="40"/>
      <c r="E103" s="39"/>
      <c r="F103" s="40"/>
      <c r="G103" s="40"/>
      <c r="H103" s="250"/>
      <c r="I103" s="40"/>
      <c r="J103" s="40"/>
      <c r="K103" s="251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</row>
    <row r="104" spans="1:36" ht="15.6" customHeight="1" x14ac:dyDescent="0.25">
      <c r="A104" s="2"/>
      <c r="B104" s="40"/>
      <c r="C104" s="40"/>
      <c r="D104" s="40"/>
      <c r="E104" s="39"/>
      <c r="F104" s="40"/>
      <c r="G104" s="40"/>
      <c r="H104" s="250"/>
      <c r="I104" s="40"/>
      <c r="J104" s="40"/>
      <c r="K104" s="251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</row>
    <row r="105" spans="1:36" ht="15.6" customHeight="1" x14ac:dyDescent="0.25">
      <c r="A105" s="2"/>
      <c r="B105" s="40"/>
      <c r="C105" s="40"/>
      <c r="D105" s="40"/>
      <c r="E105" s="39"/>
      <c r="F105" s="40"/>
      <c r="G105" s="40"/>
      <c r="H105" s="250"/>
      <c r="I105" s="40"/>
      <c r="J105" s="40"/>
      <c r="K105" s="251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</row>
    <row r="106" spans="1:36" ht="15.6" customHeight="1" x14ac:dyDescent="0.25">
      <c r="A106" s="2"/>
      <c r="B106" s="40"/>
      <c r="C106" s="40"/>
      <c r="D106" s="40"/>
      <c r="E106" s="39"/>
      <c r="F106" s="40"/>
      <c r="G106" s="40"/>
      <c r="H106" s="250"/>
      <c r="I106" s="40"/>
      <c r="J106" s="40"/>
      <c r="K106" s="251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</row>
    <row r="107" spans="1:36" ht="15.6" customHeight="1" x14ac:dyDescent="0.25">
      <c r="A107" s="2"/>
      <c r="B107" s="40"/>
      <c r="C107" s="40"/>
      <c r="D107" s="40"/>
      <c r="E107" s="39"/>
      <c r="F107" s="40"/>
      <c r="G107" s="40"/>
      <c r="H107" s="250"/>
      <c r="I107" s="40"/>
      <c r="J107" s="40"/>
      <c r="K107" s="251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</row>
    <row r="108" spans="1:36" ht="15.6" customHeight="1" x14ac:dyDescent="0.25">
      <c r="A108" s="2"/>
      <c r="B108" s="40"/>
      <c r="C108" s="40"/>
      <c r="D108" s="40"/>
      <c r="E108" s="39"/>
      <c r="F108" s="40"/>
      <c r="G108" s="40"/>
      <c r="H108" s="250"/>
      <c r="I108" s="40"/>
      <c r="J108" s="40"/>
      <c r="K108" s="251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</row>
    <row r="109" spans="1:36" ht="15.6" customHeight="1" x14ac:dyDescent="0.25">
      <c r="A109" s="2"/>
      <c r="B109" s="40"/>
      <c r="C109" s="40"/>
      <c r="D109" s="40"/>
      <c r="E109" s="39"/>
      <c r="F109" s="40"/>
      <c r="G109" s="40"/>
      <c r="H109" s="250"/>
      <c r="I109" s="40"/>
      <c r="J109" s="40"/>
      <c r="K109" s="251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</row>
    <row r="110" spans="1:36" ht="15.6" customHeight="1" x14ac:dyDescent="0.25">
      <c r="A110" s="2"/>
      <c r="B110" s="40"/>
      <c r="C110" s="40"/>
      <c r="D110" s="40"/>
      <c r="E110" s="39"/>
      <c r="F110" s="40"/>
      <c r="G110" s="40"/>
      <c r="H110" s="250"/>
      <c r="I110" s="40"/>
      <c r="J110" s="40"/>
      <c r="K110" s="251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</row>
    <row r="111" spans="1:36" s="69" customFormat="1" ht="15.6" customHeight="1" x14ac:dyDescent="0.25">
      <c r="A111" s="65"/>
      <c r="B111" s="40"/>
      <c r="C111" s="40"/>
      <c r="D111" s="40"/>
      <c r="E111" s="39"/>
      <c r="F111" s="40"/>
      <c r="G111" s="40"/>
      <c r="H111" s="250"/>
      <c r="I111" s="40"/>
      <c r="J111" s="40"/>
      <c r="K111" s="251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</row>
    <row r="112" spans="1:36" s="69" customFormat="1" ht="15.6" customHeight="1" x14ac:dyDescent="0.25">
      <c r="A112" s="65"/>
      <c r="B112" s="40"/>
      <c r="C112" s="40"/>
      <c r="D112" s="40"/>
      <c r="E112" s="39"/>
      <c r="F112" s="40"/>
      <c r="G112" s="40"/>
      <c r="H112" s="250"/>
      <c r="I112" s="40"/>
      <c r="J112" s="40"/>
      <c r="K112" s="251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</row>
    <row r="113" spans="1:36" s="69" customFormat="1" ht="15.6" customHeight="1" x14ac:dyDescent="0.25">
      <c r="A113" s="65"/>
      <c r="B113" s="40"/>
      <c r="C113" s="40"/>
      <c r="D113" s="40"/>
      <c r="E113" s="39"/>
      <c r="F113" s="40"/>
      <c r="G113" s="40"/>
      <c r="H113" s="250"/>
      <c r="I113" s="40"/>
      <c r="J113" s="40"/>
      <c r="K113" s="251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</row>
    <row r="114" spans="1:36" s="69" customFormat="1" ht="15.6" customHeight="1" x14ac:dyDescent="0.25">
      <c r="A114" s="65"/>
      <c r="B114" s="40"/>
      <c r="C114" s="40"/>
      <c r="D114" s="40"/>
      <c r="E114" s="39"/>
      <c r="F114" s="40"/>
      <c r="G114" s="40"/>
      <c r="H114" s="250"/>
      <c r="I114" s="40"/>
      <c r="J114" s="40"/>
      <c r="K114" s="251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</row>
    <row r="115" spans="1:36" s="69" customFormat="1" ht="15.6" customHeight="1" x14ac:dyDescent="0.25">
      <c r="A115" s="65"/>
      <c r="B115" s="40"/>
      <c r="C115" s="40"/>
      <c r="D115" s="40"/>
      <c r="E115" s="39"/>
      <c r="F115" s="40"/>
      <c r="G115" s="40"/>
      <c r="H115" s="250"/>
      <c r="I115" s="40"/>
      <c r="J115" s="40"/>
      <c r="K115" s="251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</row>
    <row r="116" spans="1:36" s="69" customFormat="1" ht="15.6" customHeight="1" x14ac:dyDescent="0.25">
      <c r="A116" s="65"/>
      <c r="B116" s="40"/>
      <c r="C116" s="40"/>
      <c r="D116" s="40"/>
      <c r="E116" s="39"/>
      <c r="F116" s="40"/>
      <c r="G116" s="40"/>
      <c r="H116" s="250"/>
      <c r="I116" s="40"/>
      <c r="J116" s="40"/>
      <c r="K116" s="251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</row>
    <row r="117" spans="1:36" s="69" customFormat="1" ht="15.6" customHeight="1" x14ac:dyDescent="0.25">
      <c r="A117" s="65"/>
      <c r="B117" s="40"/>
      <c r="C117" s="40"/>
      <c r="D117" s="40"/>
      <c r="E117" s="39"/>
      <c r="F117" s="40"/>
      <c r="G117" s="40"/>
      <c r="H117" s="250"/>
      <c r="I117" s="40"/>
      <c r="J117" s="40"/>
      <c r="K117" s="251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</row>
    <row r="118" spans="1:36" s="69" customFormat="1" ht="15.6" customHeight="1" x14ac:dyDescent="0.25">
      <c r="A118" s="65"/>
      <c r="B118" s="40"/>
      <c r="C118" s="40"/>
      <c r="D118" s="40"/>
      <c r="E118" s="39"/>
      <c r="F118" s="40"/>
      <c r="G118" s="40"/>
      <c r="H118" s="250"/>
      <c r="I118" s="40"/>
      <c r="J118" s="40"/>
      <c r="K118" s="251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</row>
    <row r="119" spans="1:36" s="69" customFormat="1" ht="15.6" customHeight="1" x14ac:dyDescent="0.25">
      <c r="A119" s="65"/>
      <c r="B119" s="40"/>
      <c r="C119" s="40"/>
      <c r="D119" s="40"/>
      <c r="E119" s="39"/>
      <c r="F119" s="40"/>
      <c r="G119" s="40"/>
      <c r="H119" s="250"/>
      <c r="I119" s="40"/>
      <c r="J119" s="40"/>
      <c r="K119" s="251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</row>
    <row r="120" spans="1:36" s="69" customFormat="1" ht="15.6" customHeight="1" x14ac:dyDescent="0.25">
      <c r="A120" s="65"/>
      <c r="B120" s="40"/>
      <c r="C120" s="40"/>
      <c r="D120" s="40"/>
      <c r="E120" s="39"/>
      <c r="F120" s="40"/>
      <c r="G120" s="40"/>
      <c r="H120" s="250"/>
      <c r="I120" s="40"/>
      <c r="J120" s="40"/>
      <c r="K120" s="251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</row>
    <row r="121" spans="1:36" s="69" customFormat="1" ht="15.6" customHeight="1" x14ac:dyDescent="0.25">
      <c r="A121" s="65"/>
      <c r="B121" s="40"/>
      <c r="C121" s="40"/>
      <c r="D121" s="40"/>
      <c r="E121" s="39"/>
      <c r="F121" s="40"/>
      <c r="G121" s="40"/>
      <c r="H121" s="250"/>
      <c r="I121" s="40"/>
      <c r="J121" s="40"/>
      <c r="K121" s="251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</row>
    <row r="122" spans="1:36" s="69" customFormat="1" ht="15.6" customHeight="1" x14ac:dyDescent="0.25">
      <c r="A122" s="65"/>
      <c r="B122" s="36"/>
      <c r="C122" s="36"/>
      <c r="D122" s="36"/>
      <c r="E122" s="22"/>
      <c r="F122" s="36"/>
      <c r="G122" s="36"/>
      <c r="H122" s="253"/>
      <c r="I122" s="36"/>
      <c r="J122" s="36"/>
      <c r="K122" s="254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69" customFormat="1" ht="15.6" customHeight="1" x14ac:dyDescent="0.25">
      <c r="A123" s="65"/>
      <c r="B123" s="36"/>
      <c r="C123" s="36"/>
      <c r="D123" s="36"/>
      <c r="E123" s="22"/>
      <c r="F123" s="36"/>
      <c r="G123" s="36"/>
      <c r="H123" s="253"/>
      <c r="I123" s="36"/>
      <c r="J123" s="36"/>
      <c r="K123" s="254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69" customFormat="1" ht="15.6" customHeight="1" x14ac:dyDescent="0.25">
      <c r="A124" s="65"/>
      <c r="B124" s="36"/>
      <c r="C124" s="36"/>
      <c r="D124" s="36"/>
      <c r="E124" s="22"/>
      <c r="F124" s="36"/>
      <c r="G124" s="36"/>
      <c r="H124" s="253"/>
      <c r="I124" s="36"/>
      <c r="J124" s="36"/>
      <c r="K124" s="254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69" customFormat="1" ht="15.6" customHeight="1" x14ac:dyDescent="0.25">
      <c r="A125" s="65"/>
      <c r="B125" s="36"/>
      <c r="C125" s="36"/>
      <c r="D125" s="36"/>
      <c r="E125" s="22"/>
      <c r="F125" s="36"/>
      <c r="G125" s="36"/>
      <c r="H125" s="253"/>
      <c r="I125" s="36"/>
      <c r="J125" s="36"/>
      <c r="K125" s="254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69" customFormat="1" ht="15.6" customHeight="1" x14ac:dyDescent="0.25">
      <c r="A126" s="65"/>
      <c r="B126" s="36"/>
      <c r="C126" s="36"/>
      <c r="D126" s="36"/>
      <c r="E126" s="22"/>
      <c r="F126" s="36"/>
      <c r="G126" s="36"/>
      <c r="H126" s="253"/>
      <c r="I126" s="36"/>
      <c r="J126" s="36"/>
      <c r="K126" s="254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69" customFormat="1" ht="15.6" customHeight="1" x14ac:dyDescent="0.25">
      <c r="A127" s="65"/>
      <c r="B127" s="36"/>
      <c r="C127" s="36"/>
      <c r="D127" s="36"/>
      <c r="E127" s="22"/>
      <c r="F127" s="36"/>
      <c r="G127" s="36"/>
      <c r="H127" s="253"/>
      <c r="I127" s="36"/>
      <c r="J127" s="36"/>
      <c r="K127" s="254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69" customFormat="1" ht="15.6" customHeight="1" x14ac:dyDescent="0.25">
      <c r="A128" s="65"/>
      <c r="B128" s="36"/>
      <c r="C128" s="36"/>
      <c r="D128" s="36"/>
      <c r="E128" s="22"/>
      <c r="F128" s="36"/>
      <c r="G128" s="36"/>
      <c r="H128" s="253"/>
      <c r="I128" s="36"/>
      <c r="J128" s="36"/>
      <c r="K128" s="254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69" customFormat="1" ht="15.6" customHeight="1" x14ac:dyDescent="0.25">
      <c r="A129" s="65"/>
      <c r="B129" s="36"/>
      <c r="C129" s="36"/>
      <c r="D129" s="36"/>
      <c r="E129" s="22"/>
      <c r="F129" s="36"/>
      <c r="G129" s="36"/>
      <c r="H129" s="253"/>
      <c r="I129" s="36"/>
      <c r="J129" s="36"/>
      <c r="K129" s="254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69" customFormat="1" ht="15.6" customHeight="1" x14ac:dyDescent="0.25">
      <c r="A130" s="65"/>
      <c r="B130" s="36"/>
      <c r="C130" s="36"/>
      <c r="D130" s="36"/>
      <c r="E130" s="22"/>
      <c r="F130" s="36"/>
      <c r="G130" s="36"/>
      <c r="H130" s="253"/>
      <c r="I130" s="36"/>
      <c r="J130" s="36"/>
      <c r="K130" s="254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69" customFormat="1" ht="15.6" customHeight="1" x14ac:dyDescent="0.25">
      <c r="A131" s="65"/>
      <c r="B131" s="36"/>
      <c r="C131" s="36"/>
      <c r="D131" s="36"/>
      <c r="E131" s="22"/>
      <c r="F131" s="36"/>
      <c r="G131" s="36"/>
      <c r="H131" s="253"/>
      <c r="I131" s="36"/>
      <c r="J131" s="36"/>
      <c r="K131" s="254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69" customFormat="1" ht="15.6" customHeight="1" x14ac:dyDescent="0.25">
      <c r="A132" s="65"/>
      <c r="B132" s="36"/>
      <c r="C132" s="36"/>
      <c r="D132" s="36"/>
      <c r="E132" s="22"/>
      <c r="F132" s="36"/>
      <c r="G132" s="36"/>
      <c r="H132" s="253"/>
      <c r="I132" s="36"/>
      <c r="J132" s="36"/>
      <c r="K132" s="254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69" customFormat="1" ht="15.6" customHeight="1" x14ac:dyDescent="0.25">
      <c r="A133" s="65"/>
      <c r="B133" s="36"/>
      <c r="C133" s="36"/>
      <c r="D133" s="36"/>
      <c r="E133" s="22"/>
      <c r="F133" s="36"/>
      <c r="G133" s="36"/>
      <c r="H133" s="253"/>
      <c r="I133" s="36"/>
      <c r="J133" s="36"/>
      <c r="K133" s="254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69" customFormat="1" ht="15.6" customHeight="1" x14ac:dyDescent="0.25">
      <c r="A134" s="65"/>
      <c r="B134" s="36"/>
      <c r="C134" s="36"/>
      <c r="D134" s="36"/>
      <c r="E134" s="22"/>
      <c r="F134" s="36"/>
      <c r="G134" s="36"/>
      <c r="H134" s="253"/>
      <c r="I134" s="36"/>
      <c r="J134" s="36"/>
      <c r="K134" s="254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69" customFormat="1" ht="15.6" customHeight="1" x14ac:dyDescent="0.25">
      <c r="A135" s="65"/>
      <c r="B135" s="36"/>
      <c r="C135" s="36"/>
      <c r="D135" s="36"/>
      <c r="E135" s="22"/>
      <c r="F135" s="36"/>
      <c r="G135" s="36"/>
      <c r="H135" s="253"/>
      <c r="I135" s="36"/>
      <c r="J135" s="36"/>
      <c r="K135" s="254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69" customFormat="1" ht="15.6" customHeight="1" x14ac:dyDescent="0.25">
      <c r="A136" s="65"/>
      <c r="B136" s="36"/>
      <c r="C136" s="36"/>
      <c r="D136" s="36"/>
      <c r="E136" s="22"/>
      <c r="F136" s="36"/>
      <c r="G136" s="36"/>
      <c r="H136" s="253"/>
      <c r="I136" s="36"/>
      <c r="J136" s="36"/>
      <c r="K136" s="254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69" customFormat="1" ht="15.6" customHeight="1" x14ac:dyDescent="0.25">
      <c r="A137" s="65"/>
      <c r="B137" s="36"/>
      <c r="C137" s="36"/>
      <c r="D137" s="36"/>
      <c r="E137" s="22"/>
      <c r="F137" s="36"/>
      <c r="G137" s="36"/>
      <c r="H137" s="253"/>
      <c r="I137" s="36"/>
      <c r="J137" s="36"/>
      <c r="K137" s="254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69" customFormat="1" ht="15.6" customHeight="1" x14ac:dyDescent="0.25">
      <c r="A138" s="65"/>
      <c r="B138" s="36"/>
      <c r="C138" s="36"/>
      <c r="D138" s="36"/>
      <c r="E138" s="22"/>
      <c r="F138" s="36"/>
      <c r="G138" s="36"/>
      <c r="H138" s="253"/>
      <c r="I138" s="36"/>
      <c r="J138" s="36"/>
      <c r="K138" s="254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69" customFormat="1" ht="15.6" customHeight="1" x14ac:dyDescent="0.25">
      <c r="A139" s="65"/>
      <c r="B139" s="36"/>
      <c r="C139" s="36"/>
      <c r="D139" s="36"/>
      <c r="E139" s="22"/>
      <c r="F139" s="36"/>
      <c r="G139" s="36"/>
      <c r="H139" s="253"/>
      <c r="I139" s="36"/>
      <c r="J139" s="36"/>
      <c r="K139" s="254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69" customFormat="1" ht="15.6" customHeight="1" x14ac:dyDescent="0.25">
      <c r="A140" s="65"/>
      <c r="B140" s="36"/>
      <c r="C140" s="36"/>
      <c r="D140" s="36"/>
      <c r="E140" s="22"/>
      <c r="F140" s="36"/>
      <c r="G140" s="36"/>
      <c r="H140" s="253"/>
      <c r="I140" s="36"/>
      <c r="J140" s="36"/>
      <c r="K140" s="254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69" customFormat="1" ht="15.6" customHeight="1" x14ac:dyDescent="0.25">
      <c r="A141" s="65"/>
      <c r="B141" s="36"/>
      <c r="C141" s="36"/>
      <c r="D141" s="36"/>
      <c r="E141" s="22"/>
      <c r="F141" s="36"/>
      <c r="G141" s="36"/>
      <c r="H141" s="253"/>
      <c r="I141" s="36"/>
      <c r="J141" s="36"/>
      <c r="K141" s="254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69" customFormat="1" ht="15.6" customHeight="1" x14ac:dyDescent="0.25">
      <c r="A142" s="65"/>
      <c r="B142" s="36"/>
      <c r="C142" s="36"/>
      <c r="D142" s="36"/>
      <c r="E142" s="22"/>
      <c r="F142" s="36"/>
      <c r="G142" s="36"/>
      <c r="H142" s="253"/>
      <c r="I142" s="36"/>
      <c r="J142" s="36"/>
      <c r="K142" s="254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69" customFormat="1" ht="15.6" customHeight="1" x14ac:dyDescent="0.25">
      <c r="A143" s="65"/>
      <c r="B143" s="36"/>
      <c r="C143" s="36"/>
      <c r="D143" s="36"/>
      <c r="E143" s="22"/>
      <c r="F143" s="36"/>
      <c r="G143" s="36"/>
      <c r="H143" s="253"/>
      <c r="I143" s="36"/>
      <c r="J143" s="36"/>
      <c r="K143" s="254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69" customFormat="1" ht="15.6" customHeight="1" x14ac:dyDescent="0.25">
      <c r="A144" s="65"/>
      <c r="B144" s="36"/>
      <c r="C144" s="36"/>
      <c r="D144" s="36"/>
      <c r="E144" s="22"/>
      <c r="F144" s="36"/>
      <c r="G144" s="36"/>
      <c r="H144" s="253"/>
      <c r="I144" s="36"/>
      <c r="J144" s="36"/>
      <c r="K144" s="254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69" customFormat="1" ht="15.6" customHeight="1" x14ac:dyDescent="0.25">
      <c r="A145" s="65"/>
      <c r="B145" s="36"/>
      <c r="C145" s="36"/>
      <c r="D145" s="36"/>
      <c r="E145" s="22"/>
      <c r="F145" s="36"/>
      <c r="G145" s="36"/>
      <c r="H145" s="253"/>
      <c r="I145" s="36"/>
      <c r="J145" s="36"/>
      <c r="K145" s="254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69" customFormat="1" ht="15.6" customHeight="1" x14ac:dyDescent="0.25">
      <c r="A146" s="65"/>
      <c r="B146" s="36"/>
      <c r="C146" s="36"/>
      <c r="D146" s="36"/>
      <c r="E146" s="22"/>
      <c r="F146" s="36"/>
      <c r="G146" s="36"/>
      <c r="H146" s="253"/>
      <c r="I146" s="36"/>
      <c r="J146" s="36"/>
      <c r="K146" s="254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69" customFormat="1" ht="15.6" customHeight="1" x14ac:dyDescent="0.25">
      <c r="A147" s="65"/>
      <c r="B147" s="36"/>
      <c r="C147" s="36"/>
      <c r="D147" s="36"/>
      <c r="E147" s="22"/>
      <c r="F147" s="36"/>
      <c r="G147" s="36"/>
      <c r="H147" s="253"/>
      <c r="I147" s="36"/>
      <c r="J147" s="36"/>
      <c r="K147" s="254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69" customFormat="1" ht="15.6" customHeight="1" x14ac:dyDescent="0.25">
      <c r="A148" s="65"/>
      <c r="B148" s="36"/>
      <c r="C148" s="36"/>
      <c r="D148" s="36"/>
      <c r="E148" s="22"/>
      <c r="F148" s="36"/>
      <c r="G148" s="36"/>
      <c r="H148" s="253"/>
      <c r="I148" s="36"/>
      <c r="J148" s="36"/>
      <c r="K148" s="254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69" customFormat="1" ht="15.6" customHeight="1" x14ac:dyDescent="0.25">
      <c r="A149" s="65"/>
      <c r="B149" s="36"/>
      <c r="C149" s="36"/>
      <c r="D149" s="36"/>
      <c r="E149" s="22"/>
      <c r="F149" s="36"/>
      <c r="G149" s="36"/>
      <c r="H149" s="253"/>
      <c r="I149" s="36"/>
      <c r="J149" s="36"/>
      <c r="K149" s="254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69" customFormat="1" ht="15.6" customHeight="1" x14ac:dyDescent="0.25">
      <c r="A150" s="65"/>
      <c r="B150" s="36"/>
      <c r="C150" s="36"/>
      <c r="D150" s="36"/>
      <c r="E150" s="22"/>
      <c r="F150" s="36"/>
      <c r="G150" s="36"/>
      <c r="H150" s="253"/>
      <c r="I150" s="36"/>
      <c r="J150" s="36"/>
      <c r="K150" s="254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69" customFormat="1" ht="15.6" customHeight="1" x14ac:dyDescent="0.25">
      <c r="A151" s="65"/>
      <c r="B151" s="36"/>
      <c r="C151" s="36"/>
      <c r="D151" s="36"/>
      <c r="E151" s="22"/>
      <c r="F151" s="36"/>
      <c r="G151" s="36"/>
      <c r="H151" s="253"/>
      <c r="I151" s="36"/>
      <c r="J151" s="36"/>
      <c r="K151" s="254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69" customFormat="1" ht="15.6" customHeight="1" x14ac:dyDescent="0.25">
      <c r="A152" s="65"/>
      <c r="B152" s="36"/>
      <c r="C152" s="36"/>
      <c r="D152" s="36"/>
      <c r="E152" s="22"/>
      <c r="F152" s="36"/>
      <c r="G152" s="36"/>
      <c r="H152" s="253"/>
      <c r="I152" s="36"/>
      <c r="J152" s="36"/>
      <c r="K152" s="254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69" customFormat="1" ht="15.6" customHeight="1" x14ac:dyDescent="0.25">
      <c r="A153" s="65"/>
      <c r="B153" s="36"/>
      <c r="C153" s="36"/>
      <c r="D153" s="36"/>
      <c r="E153" s="22"/>
      <c r="F153" s="36"/>
      <c r="G153" s="36"/>
      <c r="H153" s="253"/>
      <c r="I153" s="36"/>
      <c r="J153" s="36"/>
      <c r="K153" s="254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69" customFormat="1" ht="15.6" customHeight="1" x14ac:dyDescent="0.25">
      <c r="A154" s="65"/>
      <c r="B154" s="36"/>
      <c r="C154" s="36"/>
      <c r="D154" s="36"/>
      <c r="E154" s="22"/>
      <c r="F154" s="36"/>
      <c r="G154" s="36"/>
      <c r="H154" s="253"/>
      <c r="I154" s="36"/>
      <c r="J154" s="36"/>
      <c r="K154" s="254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69" customFormat="1" ht="15.6" customHeight="1" x14ac:dyDescent="0.25">
      <c r="A155" s="65"/>
      <c r="B155" s="36"/>
      <c r="C155" s="36"/>
      <c r="D155" s="36"/>
      <c r="E155" s="22"/>
      <c r="F155" s="36"/>
      <c r="G155" s="36"/>
      <c r="H155" s="253"/>
      <c r="I155" s="36"/>
      <c r="J155" s="36"/>
      <c r="K155" s="254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s="69" customFormat="1" ht="15.6" customHeight="1" x14ac:dyDescent="0.25">
      <c r="A156" s="65"/>
      <c r="B156" s="36"/>
      <c r="C156" s="36"/>
      <c r="D156" s="36"/>
      <c r="E156" s="22"/>
      <c r="F156" s="36"/>
      <c r="G156" s="36"/>
      <c r="H156" s="253"/>
      <c r="I156" s="36"/>
      <c r="J156" s="36"/>
      <c r="K156" s="254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40"/>
      <c r="AE156" s="40"/>
      <c r="AF156" s="40"/>
      <c r="AG156" s="40"/>
      <c r="AH156" s="40"/>
      <c r="AI156" s="40"/>
      <c r="AJ156" s="40"/>
    </row>
    <row r="157" spans="1:36" s="69" customFormat="1" ht="15.6" customHeight="1" x14ac:dyDescent="0.25">
      <c r="A157" s="65"/>
      <c r="B157" s="36"/>
      <c r="C157" s="36"/>
      <c r="D157" s="36"/>
      <c r="E157" s="22"/>
      <c r="F157" s="36"/>
      <c r="G157" s="36"/>
      <c r="H157" s="253"/>
      <c r="I157" s="36"/>
      <c r="J157" s="36"/>
      <c r="K157" s="254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40"/>
      <c r="AE157" s="40"/>
      <c r="AF157" s="40"/>
      <c r="AG157" s="40"/>
      <c r="AH157" s="40"/>
      <c r="AI157" s="40"/>
      <c r="AJ157" s="40"/>
    </row>
    <row r="158" spans="1:36" s="69" customFormat="1" ht="15.6" customHeight="1" x14ac:dyDescent="0.25">
      <c r="A158" s="65"/>
      <c r="B158" s="36"/>
      <c r="C158" s="36"/>
      <c r="D158" s="36"/>
      <c r="E158" s="22"/>
      <c r="F158" s="36"/>
      <c r="G158" s="36"/>
      <c r="H158" s="253"/>
      <c r="I158" s="36"/>
      <c r="J158" s="36"/>
      <c r="K158" s="254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40"/>
      <c r="AE158" s="40"/>
      <c r="AF158" s="40"/>
      <c r="AG158" s="40"/>
      <c r="AH158" s="40"/>
      <c r="AI158" s="40"/>
      <c r="AJ158" s="40"/>
    </row>
    <row r="159" spans="1:36" s="69" customFormat="1" ht="15.6" customHeight="1" x14ac:dyDescent="0.25">
      <c r="A159" s="65"/>
      <c r="B159" s="36"/>
      <c r="C159" s="36"/>
      <c r="D159" s="36"/>
      <c r="E159" s="22"/>
      <c r="F159" s="36"/>
      <c r="G159" s="36"/>
      <c r="H159" s="253"/>
      <c r="I159" s="36"/>
      <c r="J159" s="36"/>
      <c r="K159" s="254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40"/>
      <c r="AE159" s="40"/>
      <c r="AF159" s="40"/>
      <c r="AG159" s="40"/>
      <c r="AH159" s="40"/>
      <c r="AI159" s="40"/>
      <c r="AJ159" s="40"/>
    </row>
    <row r="160" spans="1:36" s="69" customFormat="1" ht="15.6" customHeight="1" x14ac:dyDescent="0.25">
      <c r="A160" s="65"/>
      <c r="B160" s="36"/>
      <c r="C160" s="36"/>
      <c r="D160" s="36"/>
      <c r="E160" s="22"/>
      <c r="F160" s="36"/>
      <c r="G160" s="36"/>
      <c r="H160" s="253"/>
      <c r="I160" s="36"/>
      <c r="J160" s="36"/>
      <c r="K160" s="254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40"/>
      <c r="AE160" s="40"/>
      <c r="AF160" s="40"/>
      <c r="AG160" s="40"/>
      <c r="AH160" s="40"/>
      <c r="AI160" s="40"/>
      <c r="AJ160" s="40"/>
    </row>
    <row r="161" spans="1:36" s="69" customFormat="1" ht="15.6" customHeight="1" x14ac:dyDescent="0.25">
      <c r="A161" s="65"/>
      <c r="B161" s="36"/>
      <c r="C161" s="36"/>
      <c r="D161" s="36"/>
      <c r="E161" s="22"/>
      <c r="F161" s="36"/>
      <c r="G161" s="36"/>
      <c r="H161" s="253"/>
      <c r="I161" s="36"/>
      <c r="J161" s="36"/>
      <c r="K161" s="254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40"/>
      <c r="AE161" s="40"/>
      <c r="AF161" s="40"/>
      <c r="AG161" s="40"/>
      <c r="AH161" s="40"/>
      <c r="AI161" s="40"/>
      <c r="AJ161" s="40"/>
    </row>
    <row r="162" spans="1:36" s="69" customFormat="1" ht="15.6" customHeight="1" x14ac:dyDescent="0.25">
      <c r="A162" s="65"/>
      <c r="B162" s="36"/>
      <c r="C162" s="36"/>
      <c r="D162" s="36"/>
      <c r="E162" s="22"/>
      <c r="F162" s="36"/>
      <c r="G162" s="36"/>
      <c r="H162" s="253"/>
      <c r="I162" s="36"/>
      <c r="J162" s="36"/>
      <c r="K162" s="254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40"/>
      <c r="AE162" s="40"/>
      <c r="AF162" s="40"/>
      <c r="AG162" s="40"/>
      <c r="AH162" s="40"/>
      <c r="AI162" s="40"/>
      <c r="AJ162" s="40"/>
    </row>
    <row r="163" spans="1:36" s="69" customFormat="1" ht="15.6" customHeight="1" x14ac:dyDescent="0.25">
      <c r="A163" s="65"/>
      <c r="B163" s="36"/>
      <c r="C163" s="36"/>
      <c r="D163" s="36"/>
      <c r="E163" s="22"/>
      <c r="F163" s="36"/>
      <c r="G163" s="36"/>
      <c r="H163" s="253"/>
      <c r="I163" s="36"/>
      <c r="J163" s="36"/>
      <c r="K163" s="254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40"/>
      <c r="AE163" s="40"/>
      <c r="AF163" s="40"/>
      <c r="AG163" s="40"/>
      <c r="AH163" s="40"/>
      <c r="AI163" s="40"/>
      <c r="AJ163" s="40"/>
    </row>
    <row r="164" spans="1:36" s="69" customFormat="1" ht="15.6" customHeight="1" x14ac:dyDescent="0.25">
      <c r="A164" s="65"/>
      <c r="B164" s="36"/>
      <c r="C164" s="36"/>
      <c r="D164" s="36"/>
      <c r="E164" s="22"/>
      <c r="F164" s="36"/>
      <c r="G164" s="36"/>
      <c r="H164" s="253"/>
      <c r="I164" s="36"/>
      <c r="J164" s="36"/>
      <c r="K164" s="254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40"/>
      <c r="AE164" s="40"/>
      <c r="AF164" s="40"/>
      <c r="AG164" s="40"/>
      <c r="AH164" s="40"/>
      <c r="AI164" s="40"/>
      <c r="AJ164" s="40"/>
    </row>
    <row r="165" spans="1:36" s="69" customFormat="1" ht="15.6" customHeight="1" x14ac:dyDescent="0.25">
      <c r="A165" s="65"/>
      <c r="B165" s="36"/>
      <c r="C165" s="36"/>
      <c r="D165" s="36"/>
      <c r="E165" s="22"/>
      <c r="F165" s="36"/>
      <c r="G165" s="36"/>
      <c r="H165" s="253"/>
      <c r="I165" s="36"/>
      <c r="J165" s="36"/>
      <c r="K165" s="254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40"/>
      <c r="AE165" s="40"/>
      <c r="AF165" s="40"/>
      <c r="AG165" s="40"/>
      <c r="AH165" s="40"/>
      <c r="AI165" s="40"/>
      <c r="AJ165" s="40"/>
    </row>
    <row r="166" spans="1:36" s="69" customFormat="1" ht="15.6" customHeight="1" x14ac:dyDescent="0.25">
      <c r="A166" s="65"/>
      <c r="B166" s="36"/>
      <c r="C166" s="36"/>
      <c r="D166" s="36"/>
      <c r="E166" s="22"/>
      <c r="F166" s="36"/>
      <c r="G166" s="36"/>
      <c r="H166" s="253"/>
      <c r="I166" s="36"/>
      <c r="J166" s="36"/>
      <c r="K166" s="254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40"/>
      <c r="AE166" s="40"/>
      <c r="AF166" s="40"/>
      <c r="AG166" s="40"/>
      <c r="AH166" s="40"/>
      <c r="AI166" s="40"/>
      <c r="AJ166" s="40"/>
    </row>
    <row r="167" spans="1:36" s="69" customFormat="1" ht="15.6" customHeight="1" x14ac:dyDescent="0.25">
      <c r="A167" s="65"/>
      <c r="B167" s="36"/>
      <c r="C167" s="36"/>
      <c r="D167" s="36"/>
      <c r="E167" s="22"/>
      <c r="F167" s="36"/>
      <c r="G167" s="36"/>
      <c r="H167" s="253"/>
      <c r="I167" s="36"/>
      <c r="J167" s="36"/>
      <c r="K167" s="254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40"/>
      <c r="AE167" s="40"/>
      <c r="AF167" s="40"/>
      <c r="AG167" s="40"/>
      <c r="AH167" s="40"/>
      <c r="AI167" s="40"/>
      <c r="AJ167" s="40"/>
    </row>
    <row r="168" spans="1:36" s="69" customFormat="1" ht="15.6" customHeight="1" x14ac:dyDescent="0.25">
      <c r="A168" s="65"/>
      <c r="B168" s="36"/>
      <c r="C168" s="36"/>
      <c r="D168" s="36"/>
      <c r="E168" s="22"/>
      <c r="F168" s="36"/>
      <c r="G168" s="36"/>
      <c r="H168" s="253"/>
      <c r="I168" s="36"/>
      <c r="J168" s="36"/>
      <c r="K168" s="254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40"/>
      <c r="AE168" s="40"/>
      <c r="AF168" s="40"/>
      <c r="AG168" s="40"/>
      <c r="AH168" s="40"/>
      <c r="AI168" s="40"/>
      <c r="AJ168" s="40"/>
    </row>
    <row r="169" spans="1:36" s="69" customFormat="1" ht="15.6" customHeight="1" x14ac:dyDescent="0.25">
      <c r="A169" s="65"/>
      <c r="B169" s="36"/>
      <c r="C169" s="36"/>
      <c r="D169" s="36"/>
      <c r="E169" s="22"/>
      <c r="F169" s="36"/>
      <c r="G169" s="36"/>
      <c r="H169" s="253"/>
      <c r="I169" s="36"/>
      <c r="J169" s="36"/>
      <c r="K169" s="254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40"/>
      <c r="AE169" s="40"/>
      <c r="AF169" s="40"/>
      <c r="AG169" s="40"/>
      <c r="AH169" s="40"/>
      <c r="AI169" s="40"/>
      <c r="AJ169" s="40"/>
    </row>
    <row r="170" spans="1:36" s="69" customFormat="1" ht="15.6" customHeight="1" x14ac:dyDescent="0.25">
      <c r="A170" s="65"/>
      <c r="B170" s="36"/>
      <c r="C170" s="36"/>
      <c r="D170" s="36"/>
      <c r="E170" s="22"/>
      <c r="F170" s="36"/>
      <c r="G170" s="36"/>
      <c r="H170" s="253"/>
      <c r="I170" s="36"/>
      <c r="J170" s="36"/>
      <c r="K170" s="254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40"/>
      <c r="AE170" s="40"/>
      <c r="AF170" s="40"/>
      <c r="AG170" s="40"/>
      <c r="AH170" s="40"/>
      <c r="AI170" s="40"/>
      <c r="AJ170" s="40"/>
    </row>
    <row r="171" spans="1:36" s="69" customFormat="1" ht="15.6" customHeight="1" x14ac:dyDescent="0.25">
      <c r="A171" s="65"/>
      <c r="B171" s="36"/>
      <c r="C171" s="36"/>
      <c r="D171" s="36"/>
      <c r="E171" s="22"/>
      <c r="F171" s="36"/>
      <c r="G171" s="36"/>
      <c r="H171" s="253"/>
      <c r="I171" s="36"/>
      <c r="J171" s="36"/>
      <c r="K171" s="254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40"/>
      <c r="AE171" s="40"/>
      <c r="AF171" s="40"/>
      <c r="AG171" s="40"/>
      <c r="AH171" s="40"/>
      <c r="AI171" s="40"/>
      <c r="AJ171" s="40"/>
    </row>
    <row r="172" spans="1:36" s="69" customFormat="1" ht="15.6" customHeight="1" x14ac:dyDescent="0.25">
      <c r="A172" s="65"/>
      <c r="B172" s="36"/>
      <c r="C172" s="36"/>
      <c r="D172" s="36"/>
      <c r="E172" s="22"/>
      <c r="F172" s="36"/>
      <c r="G172" s="36"/>
      <c r="H172" s="253"/>
      <c r="I172" s="36"/>
      <c r="J172" s="36"/>
      <c r="K172" s="254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40"/>
      <c r="AE172" s="40"/>
      <c r="AF172" s="40"/>
      <c r="AG172" s="40"/>
      <c r="AH172" s="40"/>
      <c r="AI172" s="40"/>
      <c r="AJ172" s="40"/>
    </row>
    <row r="173" spans="1:36" s="69" customFormat="1" ht="15.6" customHeight="1" x14ac:dyDescent="0.25">
      <c r="A173" s="65"/>
      <c r="B173" s="36"/>
      <c r="C173" s="36"/>
      <c r="D173" s="36"/>
      <c r="E173" s="22"/>
      <c r="F173" s="36"/>
      <c r="G173" s="36"/>
      <c r="H173" s="253"/>
      <c r="I173" s="36"/>
      <c r="J173" s="36"/>
      <c r="K173" s="254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40"/>
      <c r="AE173" s="40"/>
      <c r="AF173" s="40"/>
      <c r="AG173" s="40"/>
      <c r="AH173" s="40"/>
      <c r="AI173" s="40"/>
      <c r="AJ173" s="40"/>
    </row>
    <row r="174" spans="1:36" s="69" customFormat="1" ht="15.6" customHeight="1" x14ac:dyDescent="0.25">
      <c r="A174" s="65"/>
      <c r="B174" s="36"/>
      <c r="C174" s="36"/>
      <c r="D174" s="36"/>
      <c r="E174" s="22"/>
      <c r="F174" s="36"/>
      <c r="G174" s="36"/>
      <c r="H174" s="253"/>
      <c r="I174" s="36"/>
      <c r="J174" s="36"/>
      <c r="K174" s="254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40"/>
      <c r="AE174" s="40"/>
      <c r="AF174" s="40"/>
      <c r="AG174" s="40"/>
      <c r="AH174" s="40"/>
      <c r="AI174" s="40"/>
      <c r="AJ174" s="40"/>
    </row>
    <row r="175" spans="1:36" s="69" customFormat="1" ht="15.6" customHeight="1" x14ac:dyDescent="0.25">
      <c r="A175" s="65"/>
      <c r="B175" s="36"/>
      <c r="C175" s="36"/>
      <c r="D175" s="36"/>
      <c r="E175" s="22"/>
      <c r="F175" s="36"/>
      <c r="G175" s="36"/>
      <c r="H175" s="253"/>
      <c r="I175" s="36"/>
      <c r="J175" s="36"/>
      <c r="K175" s="254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40"/>
      <c r="AE175" s="40"/>
      <c r="AF175" s="40"/>
      <c r="AG175" s="40"/>
      <c r="AH175" s="40"/>
      <c r="AI175" s="40"/>
      <c r="AJ175" s="40"/>
    </row>
    <row r="176" spans="1:36" s="69" customFormat="1" ht="15.6" customHeight="1" x14ac:dyDescent="0.25">
      <c r="A176" s="65"/>
      <c r="B176" s="36"/>
      <c r="C176" s="36"/>
      <c r="D176" s="36"/>
      <c r="E176" s="22"/>
      <c r="F176" s="36"/>
      <c r="G176" s="36"/>
      <c r="H176" s="253"/>
      <c r="I176" s="36"/>
      <c r="J176" s="36"/>
      <c r="K176" s="254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40"/>
      <c r="AE176" s="40"/>
      <c r="AF176" s="40"/>
      <c r="AG176" s="40"/>
      <c r="AH176" s="40"/>
      <c r="AI176" s="40"/>
      <c r="AJ176" s="40"/>
    </row>
    <row r="177" spans="1:36" s="69" customFormat="1" ht="15.6" customHeight="1" x14ac:dyDescent="0.25">
      <c r="A177" s="65"/>
      <c r="B177" s="36"/>
      <c r="C177" s="36"/>
      <c r="D177" s="36"/>
      <c r="E177" s="22"/>
      <c r="F177" s="36"/>
      <c r="G177" s="36"/>
      <c r="H177" s="253"/>
      <c r="I177" s="36"/>
      <c r="J177" s="36"/>
      <c r="K177" s="254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40"/>
      <c r="AE177" s="40"/>
      <c r="AF177" s="40"/>
      <c r="AG177" s="40"/>
      <c r="AH177" s="40"/>
      <c r="AI177" s="40"/>
      <c r="AJ177" s="40"/>
    </row>
    <row r="178" spans="1:36" s="69" customFormat="1" ht="15.6" customHeight="1" x14ac:dyDescent="0.25">
      <c r="A178" s="65"/>
      <c r="B178" s="36"/>
      <c r="C178" s="36"/>
      <c r="D178" s="36"/>
      <c r="E178" s="22"/>
      <c r="F178" s="36"/>
      <c r="G178" s="36"/>
      <c r="H178" s="253"/>
      <c r="I178" s="36"/>
      <c r="J178" s="36"/>
      <c r="K178" s="254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40"/>
      <c r="AE178" s="40"/>
      <c r="AF178" s="40"/>
      <c r="AG178" s="40"/>
      <c r="AH178" s="40"/>
      <c r="AI178" s="40"/>
      <c r="AJ178" s="40"/>
    </row>
    <row r="179" spans="1:36" s="69" customFormat="1" ht="15.6" customHeight="1" x14ac:dyDescent="0.25">
      <c r="A179" s="65"/>
      <c r="B179" s="36"/>
      <c r="C179" s="36"/>
      <c r="D179" s="36"/>
      <c r="E179" s="22"/>
      <c r="F179" s="36"/>
      <c r="G179" s="36"/>
      <c r="H179" s="253"/>
      <c r="I179" s="36"/>
      <c r="J179" s="36"/>
      <c r="K179" s="254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40"/>
      <c r="AE179" s="40"/>
      <c r="AF179" s="40"/>
      <c r="AG179" s="40"/>
      <c r="AH179" s="40"/>
      <c r="AI179" s="40"/>
      <c r="AJ179" s="40"/>
    </row>
    <row r="180" spans="1:36" s="69" customFormat="1" ht="15.6" customHeight="1" x14ac:dyDescent="0.25">
      <c r="A180" s="65"/>
      <c r="B180" s="36"/>
      <c r="C180" s="36"/>
      <c r="D180" s="36"/>
      <c r="E180" s="22"/>
      <c r="F180" s="36"/>
      <c r="G180" s="36"/>
      <c r="H180" s="253"/>
      <c r="I180" s="36"/>
      <c r="J180" s="36"/>
      <c r="K180" s="254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40"/>
      <c r="AE180" s="40"/>
      <c r="AF180" s="40"/>
      <c r="AG180" s="40"/>
      <c r="AH180" s="40"/>
      <c r="AI180" s="40"/>
      <c r="AJ180" s="40"/>
    </row>
    <row r="181" spans="1:36" s="69" customFormat="1" ht="15.6" customHeight="1" x14ac:dyDescent="0.25">
      <c r="A181" s="65"/>
      <c r="B181" s="36"/>
      <c r="C181" s="36"/>
      <c r="D181" s="36"/>
      <c r="E181" s="22"/>
      <c r="F181" s="36"/>
      <c r="G181" s="36"/>
      <c r="H181" s="253"/>
      <c r="I181" s="36"/>
      <c r="J181" s="36"/>
      <c r="K181" s="254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40"/>
      <c r="AE181" s="40"/>
      <c r="AF181" s="40"/>
      <c r="AG181" s="40"/>
      <c r="AH181" s="40"/>
      <c r="AI181" s="40"/>
      <c r="AJ181" s="40"/>
    </row>
    <row r="182" spans="1:36" s="69" customFormat="1" ht="15.6" customHeight="1" x14ac:dyDescent="0.25">
      <c r="A182" s="65"/>
      <c r="B182" s="36"/>
      <c r="C182" s="36"/>
      <c r="D182" s="36"/>
      <c r="E182" s="22"/>
      <c r="F182" s="36"/>
      <c r="G182" s="36"/>
      <c r="H182" s="253"/>
      <c r="I182" s="36"/>
      <c r="J182" s="36"/>
      <c r="K182" s="254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40"/>
      <c r="AE182" s="40"/>
      <c r="AF182" s="40"/>
      <c r="AG182" s="40"/>
      <c r="AH182" s="40"/>
      <c r="AI182" s="40"/>
      <c r="AJ182" s="40"/>
    </row>
    <row r="183" spans="1:36" s="69" customFormat="1" ht="15.6" customHeight="1" x14ac:dyDescent="0.25">
      <c r="A183" s="65"/>
      <c r="B183" s="36"/>
      <c r="C183" s="36"/>
      <c r="D183" s="36"/>
      <c r="E183" s="22"/>
      <c r="F183" s="36"/>
      <c r="G183" s="36"/>
      <c r="H183" s="253"/>
      <c r="I183" s="36"/>
      <c r="J183" s="36"/>
      <c r="K183" s="254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40"/>
      <c r="AE183" s="40"/>
      <c r="AF183" s="40"/>
      <c r="AG183" s="40"/>
      <c r="AH183" s="40"/>
      <c r="AI183" s="40"/>
      <c r="AJ183" s="40"/>
    </row>
    <row r="184" spans="1:36" s="69" customFormat="1" ht="15.6" customHeight="1" x14ac:dyDescent="0.25">
      <c r="A184" s="65"/>
      <c r="B184" s="36"/>
      <c r="C184" s="36"/>
      <c r="D184" s="36"/>
      <c r="E184" s="22"/>
      <c r="F184" s="36"/>
      <c r="G184" s="36"/>
      <c r="H184" s="253"/>
      <c r="I184" s="36"/>
      <c r="J184" s="36"/>
      <c r="K184" s="254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40"/>
      <c r="AE184" s="40"/>
      <c r="AF184" s="40"/>
      <c r="AG184" s="40"/>
      <c r="AH184" s="40"/>
      <c r="AI184" s="40"/>
      <c r="AJ184" s="40"/>
    </row>
    <row r="185" spans="1:36" s="69" customFormat="1" ht="15.6" customHeight="1" x14ac:dyDescent="0.25">
      <c r="A185" s="65"/>
      <c r="B185" s="36"/>
      <c r="C185" s="36"/>
      <c r="D185" s="36"/>
      <c r="E185" s="22"/>
      <c r="F185" s="36"/>
      <c r="G185" s="36"/>
      <c r="H185" s="253"/>
      <c r="I185" s="36"/>
      <c r="J185" s="36"/>
      <c r="K185" s="254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40"/>
      <c r="AE185" s="40"/>
      <c r="AF185" s="40"/>
      <c r="AG185" s="40"/>
      <c r="AH185" s="40"/>
      <c r="AI185" s="40"/>
      <c r="AJ185" s="40"/>
    </row>
    <row r="186" spans="1:36" s="69" customFormat="1" ht="15.6" customHeight="1" x14ac:dyDescent="0.25">
      <c r="A186" s="65"/>
      <c r="B186" s="36"/>
      <c r="C186" s="36"/>
      <c r="D186" s="36"/>
      <c r="E186" s="22"/>
      <c r="F186" s="36"/>
      <c r="G186" s="36"/>
      <c r="H186" s="253"/>
      <c r="I186" s="36"/>
      <c r="J186" s="36"/>
      <c r="K186" s="254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40"/>
      <c r="AE186" s="40"/>
      <c r="AF186" s="40"/>
      <c r="AG186" s="40"/>
      <c r="AH186" s="40"/>
      <c r="AI186" s="40"/>
      <c r="AJ186" s="40"/>
    </row>
    <row r="187" spans="1:36" s="69" customFormat="1" ht="15.6" customHeight="1" x14ac:dyDescent="0.25">
      <c r="A187" s="65"/>
      <c r="B187" s="36"/>
      <c r="C187" s="36"/>
      <c r="D187" s="36"/>
      <c r="E187" s="22"/>
      <c r="F187" s="36"/>
      <c r="G187" s="36"/>
      <c r="H187" s="253"/>
      <c r="I187" s="36"/>
      <c r="J187" s="36"/>
      <c r="K187" s="254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40"/>
      <c r="AE187" s="40"/>
      <c r="AF187" s="40"/>
      <c r="AG187" s="40"/>
      <c r="AH187" s="40"/>
      <c r="AI187" s="40"/>
      <c r="AJ187" s="40"/>
    </row>
    <row r="188" spans="1:36" s="69" customFormat="1" ht="15.6" customHeight="1" x14ac:dyDescent="0.25">
      <c r="A188" s="65"/>
      <c r="B188" s="36"/>
      <c r="C188" s="36"/>
      <c r="D188" s="36"/>
      <c r="E188" s="22"/>
      <c r="F188" s="36"/>
      <c r="G188" s="36"/>
      <c r="H188" s="253"/>
      <c r="I188" s="36"/>
      <c r="J188" s="36"/>
      <c r="K188" s="254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40"/>
      <c r="AE188" s="40"/>
      <c r="AF188" s="40"/>
      <c r="AG188" s="40"/>
      <c r="AH188" s="40"/>
      <c r="AI188" s="40"/>
      <c r="AJ188" s="40"/>
    </row>
    <row r="189" spans="1:36" s="69" customFormat="1" ht="15.6" customHeight="1" x14ac:dyDescent="0.25">
      <c r="A189" s="65"/>
      <c r="B189" s="36"/>
      <c r="C189" s="36"/>
      <c r="D189" s="36"/>
      <c r="E189" s="22"/>
      <c r="F189" s="36"/>
      <c r="G189" s="36"/>
      <c r="H189" s="253"/>
      <c r="I189" s="36"/>
      <c r="J189" s="36"/>
      <c r="K189" s="254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40"/>
      <c r="AE189" s="40"/>
      <c r="AF189" s="40"/>
      <c r="AG189" s="40"/>
      <c r="AH189" s="40"/>
      <c r="AI189" s="40"/>
      <c r="AJ189" s="40"/>
    </row>
    <row r="190" spans="1:36" s="69" customFormat="1" ht="15.6" customHeight="1" x14ac:dyDescent="0.25">
      <c r="A190" s="65"/>
      <c r="B190" s="36"/>
      <c r="C190" s="36"/>
      <c r="D190" s="36"/>
      <c r="E190" s="22"/>
      <c r="F190" s="36"/>
      <c r="G190" s="36"/>
      <c r="H190" s="253"/>
      <c r="I190" s="36"/>
      <c r="J190" s="36"/>
      <c r="K190" s="254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40"/>
      <c r="AE190" s="40"/>
      <c r="AF190" s="40"/>
      <c r="AG190" s="40"/>
      <c r="AH190" s="40"/>
      <c r="AI190" s="40"/>
      <c r="AJ190" s="40"/>
    </row>
    <row r="191" spans="1:36" s="69" customFormat="1" ht="15.6" customHeight="1" x14ac:dyDescent="0.25">
      <c r="A191" s="65"/>
      <c r="B191" s="36"/>
      <c r="C191" s="36"/>
      <c r="D191" s="36"/>
      <c r="E191" s="22"/>
      <c r="F191" s="36"/>
      <c r="G191" s="36"/>
      <c r="H191" s="253"/>
      <c r="I191" s="36"/>
      <c r="J191" s="36"/>
      <c r="K191" s="254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40"/>
      <c r="AE191" s="40"/>
      <c r="AF191" s="40"/>
      <c r="AG191" s="40"/>
      <c r="AH191" s="40"/>
      <c r="AI191" s="40"/>
      <c r="AJ191" s="40"/>
    </row>
    <row r="192" spans="1:36" s="69" customFormat="1" ht="15.6" customHeight="1" x14ac:dyDescent="0.25">
      <c r="A192" s="65"/>
      <c r="B192" s="36"/>
      <c r="C192" s="36"/>
      <c r="D192" s="36"/>
      <c r="E192" s="22"/>
      <c r="F192" s="36"/>
      <c r="G192" s="36"/>
      <c r="H192" s="253"/>
      <c r="I192" s="36"/>
      <c r="J192" s="36"/>
      <c r="K192" s="254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40"/>
      <c r="AE192" s="40"/>
      <c r="AF192" s="40"/>
      <c r="AG192" s="40"/>
      <c r="AH192" s="40"/>
      <c r="AI192" s="40"/>
      <c r="AJ192" s="40"/>
    </row>
    <row r="193" spans="1:36" s="69" customFormat="1" ht="15.6" customHeight="1" x14ac:dyDescent="0.25">
      <c r="A193" s="65"/>
      <c r="B193" s="36"/>
      <c r="C193" s="36"/>
      <c r="D193" s="36"/>
      <c r="E193" s="22"/>
      <c r="F193" s="36"/>
      <c r="G193" s="36"/>
      <c r="H193" s="253"/>
      <c r="I193" s="36"/>
      <c r="J193" s="36"/>
      <c r="K193" s="254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40"/>
      <c r="AE193" s="40"/>
      <c r="AF193" s="40"/>
      <c r="AG193" s="40"/>
      <c r="AH193" s="40"/>
      <c r="AI193" s="40"/>
      <c r="AJ193" s="40"/>
    </row>
    <row r="194" spans="1:36" s="69" customFormat="1" ht="15.6" customHeight="1" x14ac:dyDescent="0.25">
      <c r="A194" s="65"/>
      <c r="B194" s="36"/>
      <c r="C194" s="36"/>
      <c r="D194" s="36"/>
      <c r="E194" s="22"/>
      <c r="F194" s="36"/>
      <c r="G194" s="36"/>
      <c r="H194" s="253"/>
      <c r="I194" s="36"/>
      <c r="J194" s="36"/>
      <c r="K194" s="254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40"/>
      <c r="AE194" s="40"/>
      <c r="AF194" s="40"/>
      <c r="AG194" s="40"/>
      <c r="AH194" s="40"/>
      <c r="AI194" s="40"/>
      <c r="AJ194" s="40"/>
    </row>
    <row r="195" spans="1:36" s="69" customFormat="1" ht="15.6" customHeight="1" x14ac:dyDescent="0.25">
      <c r="A195" s="65"/>
      <c r="B195" s="36"/>
      <c r="C195" s="36"/>
      <c r="D195" s="36"/>
      <c r="E195" s="22"/>
      <c r="F195" s="36"/>
      <c r="G195" s="36"/>
      <c r="H195" s="253"/>
      <c r="I195" s="36"/>
      <c r="J195" s="36"/>
      <c r="K195" s="254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40"/>
      <c r="AE195" s="40"/>
      <c r="AF195" s="40"/>
      <c r="AG195" s="40"/>
      <c r="AH195" s="40"/>
      <c r="AI195" s="40"/>
      <c r="AJ195" s="40"/>
    </row>
    <row r="196" spans="1:36" s="69" customFormat="1" ht="15.6" customHeight="1" x14ac:dyDescent="0.25">
      <c r="A196" s="65"/>
      <c r="B196" s="36"/>
      <c r="C196" s="36"/>
      <c r="D196" s="36"/>
      <c r="E196" s="22"/>
      <c r="F196" s="36"/>
      <c r="G196" s="36"/>
      <c r="H196" s="253"/>
      <c r="I196" s="36"/>
      <c r="J196" s="36"/>
      <c r="K196" s="254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40"/>
      <c r="AE196" s="40"/>
      <c r="AF196" s="40"/>
      <c r="AG196" s="40"/>
      <c r="AH196" s="40"/>
      <c r="AI196" s="40"/>
      <c r="AJ196" s="40"/>
    </row>
    <row r="197" spans="1:36" ht="15.6" customHeight="1" x14ac:dyDescent="0.25">
      <c r="AD197" s="40"/>
      <c r="AE197" s="40"/>
      <c r="AF197" s="40"/>
      <c r="AG197" s="40"/>
      <c r="AH197" s="40"/>
      <c r="AI197" s="40"/>
      <c r="AJ197" s="40"/>
    </row>
  </sheetData>
  <sortState xmlns:xlrd2="http://schemas.microsoft.com/office/spreadsheetml/2017/richdata2" ref="B27:AC28">
    <sortCondition ref="B27:B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2023-10-07T06:27:34Z</dcterms:modified>
</cp:coreProperties>
</file>